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/>
  </bookViews>
  <sheets>
    <sheet name="monthly" sheetId="94" r:id="rId1"/>
    <sheet name="by type_area" sheetId="80" r:id="rId2"/>
    <sheet name="summary" sheetId="63" r:id="rId3"/>
    <sheet name="williams" sheetId="2" r:id="rId4"/>
    <sheet name="Lonestar" sheetId="5" r:id="rId5"/>
    <sheet name="PG&amp;E" sheetId="28" r:id="rId6"/>
    <sheet name="SoCal" sheetId="6" r:id="rId7"/>
    <sheet name="PGETX" sheetId="9" r:id="rId8"/>
    <sheet name="El Paso" sheetId="11" r:id="rId9"/>
    <sheet name="Red C" sheetId="15" r:id="rId10"/>
    <sheet name="Amoco" sheetId="12" r:id="rId11"/>
    <sheet name="Oasis" sheetId="16" r:id="rId12"/>
    <sheet name="Agave" sheetId="8" r:id="rId13"/>
    <sheet name="Conoco" sheetId="13" r:id="rId14"/>
    <sheet name="NW" sheetId="7" r:id="rId15"/>
    <sheet name="transcol" sheetId="19" r:id="rId16"/>
    <sheet name="Duke" sheetId="20" r:id="rId17"/>
    <sheet name="DEFS" sheetId="73" r:id="rId18"/>
    <sheet name="mewborne" sheetId="17" r:id="rId19"/>
    <sheet name="Amoco Abo" sheetId="18" r:id="rId20"/>
    <sheet name="NNG" sheetId="65" r:id="rId21"/>
    <sheet name="PNM" sheetId="64" r:id="rId22"/>
    <sheet name="NGPL" sheetId="67" r:id="rId23"/>
    <sheet name="Mojave" sheetId="68" r:id="rId24"/>
    <sheet name="EOG" sheetId="70" r:id="rId25"/>
    <sheet name="KN_Westar" sheetId="22" r:id="rId26"/>
    <sheet name="Continental" sheetId="71" r:id="rId27"/>
    <sheet name="CIG" sheetId="72" r:id="rId28"/>
    <sheet name="Calpine" sheetId="74" r:id="rId29"/>
    <sheet name="EPFS" sheetId="75" r:id="rId30"/>
    <sheet name="SidR" sheetId="76" r:id="rId31"/>
    <sheet name="NS Steel" sheetId="77" r:id="rId32"/>
    <sheet name="Citizens-Griffith" sheetId="79" r:id="rId33"/>
    <sheet name="Citizens" sheetId="78" r:id="rId34"/>
    <sheet name="PEPL" sheetId="81" r:id="rId35"/>
    <sheet name="MiVida_Rich" sheetId="89" r:id="rId36"/>
    <sheet name="WTGmktg" sheetId="83" r:id="rId37"/>
    <sheet name="WTG inc" sheetId="91" r:id="rId38"/>
    <sheet name="Dominion" sheetId="85" r:id="rId39"/>
    <sheet name="Devon" sheetId="86" r:id="rId40"/>
    <sheet name="crosstex" sheetId="87" r:id="rId41"/>
    <sheet name="Amarillo" sheetId="88" r:id="rId42"/>
    <sheet name="SWGasTrans" sheetId="90" r:id="rId43"/>
    <sheet name="Stratland" sheetId="92" r:id="rId44"/>
    <sheet name="Plains" sheetId="93" r:id="rId45"/>
    <sheet name="burlington" sheetId="69" r:id="rId46"/>
  </sheets>
  <externalReferences>
    <externalReference r:id="rId47"/>
    <externalReference r:id="rId48"/>
    <externalReference r:id="rId49"/>
  </externalReferences>
  <definedNames>
    <definedName name="_800applic">#REF!</definedName>
    <definedName name="cngint">#REF!</definedName>
    <definedName name="_imb8289">KN_Westar!$Q$2:$W$29</definedName>
    <definedName name="_xlnm.Print_Area" localSheetId="12">Agave!$A$3:$D$25</definedName>
    <definedName name="_xlnm.Print_Area" localSheetId="41">Amarillo!$A$1:$P$41</definedName>
    <definedName name="_xlnm.Print_Area" localSheetId="10">Amoco!$A$4:$D$40</definedName>
    <definedName name="_xlnm.Print_Area" localSheetId="19">'Amoco Abo'!$A$6:$F$43</definedName>
    <definedName name="_xlnm.Print_Area" localSheetId="1">'by type_area'!$A$56:$H$93</definedName>
    <definedName name="_xlnm.Print_Area" localSheetId="28">Calpine!$G$5:$L$28</definedName>
    <definedName name="_xlnm.Print_Area" localSheetId="13">Conoco!$A$2:$F$44</definedName>
    <definedName name="_xlnm.Print_Area" localSheetId="17">DEFS!$A$1:$J$53</definedName>
    <definedName name="_xlnm.Print_Area" localSheetId="38">Dominion!$A$3:$D$48</definedName>
    <definedName name="_xlnm.Print_Area" localSheetId="16">Duke!$I$6:$Q$16</definedName>
    <definedName name="_xlnm.Print_Area" localSheetId="8">'El Paso'!$A$2:$I$39</definedName>
    <definedName name="_xlnm.Print_Area" localSheetId="24">EOG!$A$1:$J$41</definedName>
    <definedName name="_xlnm.Print_Area" localSheetId="25">KN_Westar!$A$4:$F$41</definedName>
    <definedName name="_xlnm.Print_Area" localSheetId="4">Lonestar!$A$2:$F$42</definedName>
    <definedName name="_xlnm.Print_Area" localSheetId="18">mewborne!$A$5:$J$43</definedName>
    <definedName name="_xlnm.Print_Area" localSheetId="23">Mojave!$A$1:$D$40</definedName>
    <definedName name="_xlnm.Print_Area" localSheetId="22">NGPL!$A$1:$H$39</definedName>
    <definedName name="_xlnm.Print_Area" localSheetId="20">NNG!$A$1:$D$26</definedName>
    <definedName name="_xlnm.Print_Area" localSheetId="14">NW!$A$2:$F$41</definedName>
    <definedName name="_xlnm.Print_Area" localSheetId="11">Oasis!$R$2:$U$40</definedName>
    <definedName name="_xlnm.Print_Area" localSheetId="5">'PG&amp;E'!$A$1:$D$40</definedName>
    <definedName name="_xlnm.Print_Area" localSheetId="7">PGETX!$K$2:$P$15</definedName>
    <definedName name="_xlnm.Print_Area" localSheetId="21">PNM!$A$2:$D$23</definedName>
    <definedName name="_xlnm.Print_Area" localSheetId="9">'Red C'!$A$2:$F$43</definedName>
    <definedName name="_xlnm.Print_Area" localSheetId="6">SoCal!$A$2:$F$41</definedName>
    <definedName name="_xlnm.Print_Area" localSheetId="2">summary!$A$2:$G$57</definedName>
    <definedName name="_xlnm.Print_Area" localSheetId="3">williams!$A$1:$J$48</definedName>
    <definedName name="REVAL">#REF!</definedName>
    <definedName name="softball">#REF!</definedName>
    <definedName name="WRITEOFFS">#REF!</definedName>
  </definedNames>
  <calcPr calcId="92512"/>
</workbook>
</file>

<file path=xl/calcChain.xml><?xml version="1.0" encoding="utf-8"?>
<calcChain xmlns="http://schemas.openxmlformats.org/spreadsheetml/2006/main">
  <c r="B5" i="8" l="1"/>
  <c r="D5" i="8"/>
  <c r="B6" i="8"/>
  <c r="D6" i="8"/>
  <c r="B7" i="8"/>
  <c r="D7" i="8"/>
  <c r="B8" i="8"/>
  <c r="D8" i="8"/>
  <c r="B9" i="8"/>
  <c r="D9" i="8"/>
  <c r="B10" i="8"/>
  <c r="D10" i="8"/>
  <c r="D11" i="8"/>
  <c r="D12" i="8"/>
  <c r="B13" i="8"/>
  <c r="D13" i="8"/>
  <c r="B14" i="8"/>
  <c r="D14" i="8"/>
  <c r="D15" i="8"/>
  <c r="D16" i="8"/>
  <c r="B17" i="8"/>
  <c r="D17" i="8"/>
  <c r="B18" i="8"/>
  <c r="D18" i="8"/>
  <c r="D19" i="8"/>
  <c r="D20" i="8"/>
  <c r="D21" i="8"/>
  <c r="D25" i="8"/>
  <c r="A29" i="8"/>
  <c r="A30" i="8"/>
  <c r="D30" i="8"/>
  <c r="D31" i="8"/>
  <c r="D36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52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39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G3" i="80"/>
  <c r="H3" i="80"/>
  <c r="G4" i="80"/>
  <c r="G5" i="80"/>
  <c r="I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B51" i="80"/>
  <c r="C51" i="80"/>
  <c r="D51" i="80"/>
  <c r="E51" i="80"/>
  <c r="G57" i="80"/>
  <c r="H57" i="80"/>
  <c r="G58" i="80"/>
  <c r="G59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B73" i="80"/>
  <c r="C73" i="80"/>
  <c r="D73" i="80"/>
  <c r="E73" i="80"/>
  <c r="F73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B80" i="80"/>
  <c r="C80" i="80"/>
  <c r="D80" i="80"/>
  <c r="E80" i="80"/>
  <c r="F80" i="80"/>
  <c r="B81" i="80"/>
  <c r="C81" i="80"/>
  <c r="D81" i="80"/>
  <c r="E81" i="80"/>
  <c r="F81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B86" i="80"/>
  <c r="C86" i="80"/>
  <c r="D86" i="80"/>
  <c r="E86" i="80"/>
  <c r="B89" i="80"/>
  <c r="B90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55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B6" i="78"/>
  <c r="D6" i="78"/>
  <c r="D7" i="78"/>
  <c r="B8" i="78"/>
  <c r="D8" i="78"/>
  <c r="D9" i="78"/>
  <c r="D10" i="78"/>
  <c r="D11" i="78"/>
  <c r="D12" i="78"/>
  <c r="D13" i="78"/>
  <c r="D14" i="78"/>
  <c r="D18" i="78"/>
  <c r="A22" i="78"/>
  <c r="D23" i="78"/>
  <c r="A24" i="78"/>
  <c r="D24" i="78"/>
  <c r="D31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0" i="87"/>
  <c r="F41" i="87"/>
  <c r="A46" i="87"/>
  <c r="D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10" i="20"/>
  <c r="J11" i="20"/>
  <c r="B13" i="20"/>
  <c r="B14" i="20"/>
  <c r="B15" i="20"/>
  <c r="J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C61" i="20"/>
  <c r="C62" i="20"/>
  <c r="I62" i="20"/>
  <c r="B72" i="20"/>
  <c r="C72" i="20"/>
  <c r="B73" i="20"/>
  <c r="C73" i="20"/>
  <c r="B74" i="20"/>
  <c r="C74" i="20"/>
  <c r="B75" i="20"/>
  <c r="C75" i="20"/>
  <c r="B76" i="20"/>
  <c r="C76" i="20"/>
  <c r="B77" i="20"/>
  <c r="C77" i="20"/>
  <c r="B78" i="20"/>
  <c r="C78" i="20"/>
  <c r="B79" i="20"/>
  <c r="C79" i="20"/>
  <c r="B80" i="20"/>
  <c r="C80" i="20"/>
  <c r="B81" i="20"/>
  <c r="C81" i="20"/>
  <c r="B82" i="20"/>
  <c r="C82" i="20"/>
  <c r="B83" i="20"/>
  <c r="C83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O11" i="5"/>
  <c r="P11" i="5"/>
  <c r="F12" i="5"/>
  <c r="O12" i="5"/>
  <c r="P12" i="5"/>
  <c r="F13" i="5"/>
  <c r="O13" i="5"/>
  <c r="P13" i="5"/>
  <c r="F14" i="5"/>
  <c r="O14" i="5"/>
  <c r="P14" i="5"/>
  <c r="F15" i="5"/>
  <c r="O15" i="5"/>
  <c r="P15" i="5"/>
  <c r="F16" i="5"/>
  <c r="O16" i="5"/>
  <c r="P16" i="5"/>
  <c r="F17" i="5"/>
  <c r="O17" i="5"/>
  <c r="P17" i="5"/>
  <c r="F18" i="5"/>
  <c r="O18" i="5"/>
  <c r="P18" i="5"/>
  <c r="F19" i="5"/>
  <c r="O19" i="5"/>
  <c r="P19" i="5"/>
  <c r="F20" i="5"/>
  <c r="O20" i="5"/>
  <c r="P20" i="5"/>
  <c r="F21" i="5"/>
  <c r="O21" i="5"/>
  <c r="P21" i="5"/>
  <c r="F22" i="5"/>
  <c r="O22" i="5"/>
  <c r="P22" i="5"/>
  <c r="F23" i="5"/>
  <c r="O23" i="5"/>
  <c r="P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2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B5" i="94"/>
  <c r="C5" i="94"/>
  <c r="B6" i="94"/>
  <c r="C6" i="94"/>
  <c r="B7" i="94"/>
  <c r="C7" i="94"/>
  <c r="B8" i="94"/>
  <c r="C8" i="94"/>
  <c r="B9" i="94"/>
  <c r="C9" i="94"/>
  <c r="B10" i="94"/>
  <c r="C10" i="94"/>
  <c r="B11" i="94"/>
  <c r="C11" i="94"/>
  <c r="B12" i="94"/>
  <c r="C12" i="94"/>
  <c r="B13" i="94"/>
  <c r="C13" i="94"/>
  <c r="B14" i="94"/>
  <c r="C14" i="94"/>
  <c r="B15" i="94"/>
  <c r="C15" i="94"/>
  <c r="B16" i="94"/>
  <c r="C16" i="94"/>
  <c r="B17" i="94"/>
  <c r="C17" i="94"/>
  <c r="B18" i="94"/>
  <c r="C18" i="94"/>
  <c r="B19" i="94"/>
  <c r="C19" i="94"/>
  <c r="B20" i="94"/>
  <c r="C20" i="94"/>
  <c r="B21" i="94"/>
  <c r="C21" i="94"/>
  <c r="B22" i="94"/>
  <c r="C22" i="94"/>
  <c r="B23" i="94"/>
  <c r="C23" i="94"/>
  <c r="B24" i="94"/>
  <c r="C24" i="94"/>
  <c r="B25" i="94"/>
  <c r="C25" i="94"/>
  <c r="B26" i="94"/>
  <c r="C26" i="94"/>
  <c r="B27" i="94"/>
  <c r="C27" i="94"/>
  <c r="B28" i="94"/>
  <c r="B29" i="94"/>
  <c r="C29" i="94"/>
  <c r="B30" i="94"/>
  <c r="C30" i="94"/>
  <c r="B31" i="94"/>
  <c r="C31" i="94"/>
  <c r="B32" i="94"/>
  <c r="C32" i="94"/>
  <c r="B33" i="94"/>
  <c r="C33" i="94"/>
  <c r="B34" i="94"/>
  <c r="C34" i="94"/>
  <c r="B35" i="94"/>
  <c r="C35" i="94"/>
  <c r="B36" i="94"/>
  <c r="B37" i="94"/>
  <c r="C37" i="94"/>
  <c r="B38" i="94"/>
  <c r="C38" i="94"/>
  <c r="B39" i="94"/>
  <c r="C39" i="94"/>
  <c r="B40" i="94"/>
  <c r="C40" i="94"/>
  <c r="B41" i="94"/>
  <c r="C41" i="94"/>
  <c r="B42" i="94"/>
  <c r="C42" i="94"/>
  <c r="B43" i="94"/>
  <c r="B44" i="94"/>
  <c r="B45" i="94"/>
  <c r="C45" i="94"/>
  <c r="B47" i="94"/>
  <c r="H3" i="67"/>
  <c r="H4" i="67"/>
  <c r="H5" i="67"/>
  <c r="H6" i="67"/>
  <c r="H7" i="67"/>
  <c r="H8" i="67"/>
  <c r="H9" i="67"/>
  <c r="H10" i="67"/>
  <c r="N10" i="67"/>
  <c r="P10" i="67"/>
  <c r="U10" i="67"/>
  <c r="W10" i="67"/>
  <c r="H11" i="67"/>
  <c r="L11" i="67"/>
  <c r="N11" i="67"/>
  <c r="P11" i="67"/>
  <c r="U11" i="67"/>
  <c r="W11" i="67"/>
  <c r="H12" i="67"/>
  <c r="L12" i="67"/>
  <c r="N12" i="67"/>
  <c r="P12" i="67"/>
  <c r="U12" i="67"/>
  <c r="W12" i="67"/>
  <c r="H13" i="67"/>
  <c r="L13" i="67"/>
  <c r="N13" i="67"/>
  <c r="P13" i="67"/>
  <c r="U13" i="67"/>
  <c r="W13" i="67"/>
  <c r="H14" i="67"/>
  <c r="N14" i="67"/>
  <c r="P14" i="67"/>
  <c r="U14" i="67"/>
  <c r="H15" i="67"/>
  <c r="U15" i="67"/>
  <c r="H16" i="67"/>
  <c r="N16" i="67"/>
  <c r="P16" i="67"/>
  <c r="U16" i="67"/>
  <c r="W16" i="67"/>
  <c r="H17" i="67"/>
  <c r="H18" i="67"/>
  <c r="H19" i="67"/>
  <c r="H20" i="67"/>
  <c r="H21" i="67"/>
  <c r="H22" i="67"/>
  <c r="H23" i="67"/>
  <c r="H24" i="67"/>
  <c r="H25" i="67"/>
  <c r="H26" i="67"/>
  <c r="H27" i="67"/>
  <c r="H28" i="67"/>
  <c r="H29" i="67"/>
  <c r="H30" i="67"/>
  <c r="H31" i="67"/>
  <c r="H32" i="67"/>
  <c r="T32" i="67"/>
  <c r="H33" i="67"/>
  <c r="T33" i="67"/>
  <c r="B34" i="67"/>
  <c r="C34" i="67"/>
  <c r="D34" i="67"/>
  <c r="E34" i="67"/>
  <c r="F34" i="67"/>
  <c r="G34" i="67"/>
  <c r="H34" i="67"/>
  <c r="T34" i="67"/>
  <c r="H37" i="67"/>
  <c r="H38" i="67"/>
  <c r="A43" i="67"/>
  <c r="A44" i="67"/>
  <c r="D44" i="67"/>
  <c r="F44" i="67"/>
  <c r="D45" i="67"/>
  <c r="F45" i="67"/>
  <c r="B6" i="65"/>
  <c r="D6" i="65"/>
  <c r="B7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39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53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0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P4" i="9"/>
  <c r="R4" i="9"/>
  <c r="H5" i="9"/>
  <c r="P5" i="9"/>
  <c r="R5" i="9"/>
  <c r="H6" i="9"/>
  <c r="P6" i="9"/>
  <c r="R6" i="9"/>
  <c r="H7" i="9"/>
  <c r="N7" i="9"/>
  <c r="P7" i="9"/>
  <c r="R7" i="9"/>
  <c r="H8" i="9"/>
  <c r="P8" i="9"/>
  <c r="R8" i="9"/>
  <c r="H9" i="9"/>
  <c r="N9" i="9"/>
  <c r="P9" i="9"/>
  <c r="R9" i="9"/>
  <c r="H10" i="9"/>
  <c r="P10" i="9"/>
  <c r="R10" i="9"/>
  <c r="H11" i="9"/>
  <c r="P11" i="9"/>
  <c r="R11" i="9"/>
  <c r="H12" i="9"/>
  <c r="P12" i="9"/>
  <c r="R12" i="9"/>
  <c r="H13" i="9"/>
  <c r="P13" i="9"/>
  <c r="R13" i="9"/>
  <c r="H14" i="9"/>
  <c r="P14" i="9"/>
  <c r="R14" i="9"/>
  <c r="H15" i="9"/>
  <c r="P15" i="9"/>
  <c r="R15" i="9"/>
  <c r="H16" i="9"/>
  <c r="P16" i="9"/>
  <c r="R16" i="9"/>
  <c r="H17" i="9"/>
  <c r="H18" i="9"/>
  <c r="H19" i="9"/>
  <c r="P19" i="9"/>
  <c r="R19" i="9"/>
  <c r="H20" i="9"/>
  <c r="H21" i="9"/>
  <c r="H22" i="9"/>
  <c r="R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H53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7" i="93"/>
  <c r="N38" i="93"/>
  <c r="N39" i="93"/>
  <c r="N43" i="93"/>
  <c r="A48" i="93"/>
  <c r="A49" i="93"/>
  <c r="D49" i="93"/>
  <c r="D50" i="93"/>
  <c r="B5" i="64"/>
  <c r="D5" i="64"/>
  <c r="B6" i="64"/>
  <c r="D6" i="64"/>
  <c r="B7" i="64"/>
  <c r="D7" i="64"/>
  <c r="D8" i="64"/>
  <c r="D9" i="64"/>
  <c r="D10" i="64"/>
  <c r="B11" i="64"/>
  <c r="D11" i="64"/>
  <c r="D12" i="64"/>
  <c r="D13" i="64"/>
  <c r="D17" i="64"/>
  <c r="D18" i="64"/>
  <c r="D19" i="64"/>
  <c r="D23" i="64"/>
  <c r="A28" i="64"/>
  <c r="A29" i="64"/>
  <c r="D29" i="64"/>
  <c r="D30" i="64"/>
  <c r="D33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4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F53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7" i="92"/>
  <c r="D38" i="92"/>
  <c r="D39" i="92"/>
  <c r="D41" i="92"/>
  <c r="A46" i="92"/>
  <c r="A47" i="92"/>
  <c r="D47" i="92"/>
  <c r="D48" i="92"/>
  <c r="D51" i="92"/>
  <c r="G3" i="63"/>
  <c r="J3" i="63"/>
  <c r="G4" i="63"/>
  <c r="G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N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D37" i="63"/>
  <c r="B38" i="63"/>
  <c r="C38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B50" i="63"/>
  <c r="C50" i="63"/>
  <c r="D50" i="63"/>
  <c r="B51" i="63"/>
  <c r="C51" i="63"/>
  <c r="D51" i="63"/>
  <c r="B52" i="63"/>
  <c r="C52" i="63"/>
  <c r="D52" i="63"/>
  <c r="B53" i="63"/>
  <c r="C53" i="63"/>
  <c r="B55" i="63"/>
  <c r="C55" i="63"/>
  <c r="B84" i="63"/>
  <c r="B85" i="63"/>
  <c r="B95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<sst xmlns="http://schemas.openxmlformats.org/spreadsheetml/2006/main" count="1060" uniqueCount="342">
  <si>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</si>
  <si>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</si>
  <si>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</si>
  <si>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</si>
  <si>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</si>
  <si>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</si>
  <si>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</si>
  <si>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</si>
  <si>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</si>
  <si>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</si>
  <si>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</si>
  <si>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</si>
  <si>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</si>
  <si>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</si>
  <si>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</si>
  <si>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</si>
  <si>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</si>
  <si>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</si>
  <si>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</si>
  <si>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</si>
  <si>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</si>
  <si>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</si>
  <si>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</si>
  <si>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</si>
  <si>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</si>
  <si>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</si>
  <si>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</si>
  <si>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</si>
  <si>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</si>
  <si>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</si>
  <si>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</si>
  <si>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</si>
  <si>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</si>
  <si>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</si>
  <si>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</si>
  <si>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</si>
  <si>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</si>
  <si>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</si>
  <si>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</si>
  <si>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</si>
  <si>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</si>
  <si>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</si>
  <si>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</si>
  <si>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</si>
  <si>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</si>
  <si>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</si>
  <si>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</si>
  <si>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</si>
  <si>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</si>
  <si>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</si>
  <si>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</si>
  <si>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</si>
  <si>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</si>
  <si>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</si>
  <si>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</si>
  <si>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</si>
  <si>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</si>
  <si>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</si>
  <si>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</si>
  <si>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</si>
  <si>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</si>
  <si>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</si>
  <si>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</si>
  <si>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</si>
  <si>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</si>
  <si>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</si>
  <si>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</si>
  <si>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</si>
  <si>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</si>
  <si>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</si>
  <si>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</si>
  <si>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</si>
  <si>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</si>
  <si>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</si>
  <si>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</si>
  <si>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</si>
  <si>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</si>
  <si>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</si>
  <si>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</si>
  <si>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</si>
  <si>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</si>
  <si>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</si>
  <si>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</si>
  <si>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</si>
  <si>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</si>
  <si>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</si>
  <si>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</si>
  <si>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</si>
  <si>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</si>
  <si>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</si>
  <si>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</si>
  <si>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</si>
  <si>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</si>
  <si>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</si>
  <si>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</si>
  <si>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</si>
  <si>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</si>
  <si>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</si>
  <si>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</si>
  <si>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</si>
  <si>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</si>
  <si>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</si>
  <si>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</si>
  <si>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</si>
  <si>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</si>
  <si>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</si>
  <si>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</si>
  <si>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</si>
  <si>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</si>
  <si>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</si>
  <si>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</si>
  <si>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</si>
  <si>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</si>
  <si>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</si>
  <si>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</si>
  <si>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</si>
  <si>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</si>
  <si>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</si>
  <si>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</si>
  <si>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</si>
  <si>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</si>
  <si>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</si>
  <si>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</si>
  <si>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</si>
  <si>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</si>
  <si>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</si>
  <si>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</si>
  <si>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</si>
  <si>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</si>
  <si>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</si>
  <si>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</si>
  <si>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</si>
  <si>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</si>
  <si>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</si>
  <si>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</si>
  <si>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</si>
  <si>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</si>
  <si>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</si>
  <si>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</si>
  <si>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</si>
  <si>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</si>
  <si>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</si>
  <si>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</si>
  <si>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</si>
  <si>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</si>
  <si>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</si>
  <si>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</si>
  <si>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</si>
  <si>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</si>
  <si>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</si>
  <si>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</si>
  <si>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</si>
  <si>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</si>
  <si>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</si>
  <si>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</si>
  <si>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</si>
  <si>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</si>
  <si>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</si>
  <si>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</si>
  <si>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</si>
  <si>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</si>
  <si>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</si>
  <si>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</si>
  <si>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</si>
  <si>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</si>
  <si>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</si>
  <si>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</si>
  <si>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</si>
  <si>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</si>
  <si>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</si>
  <si>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</si>
  <si>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</si>
  <si>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</si>
  <si>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</si>
  <si>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</si>
  <si>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</si>
  <si>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</si>
  <si>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</si>
  <si>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</si>
  <si>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</si>
  <si>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</si>
  <si>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</si>
  <si>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</si>
  <si>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</si>
  <si>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</si>
  <si>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</si>
  <si>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</si>
  <si>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</si>
  <si>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</si>
  <si>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</si>
  <si>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</si>
  <si>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</si>
  <si>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</si>
  <si>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</si>
  <si>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</si>
  <si>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</si>
  <si>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</si>
  <si>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</si>
  <si>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</si>
  <si>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</si>
  <si>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</si>
  <si>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</si>
  <si>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</si>
  <si>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</si>
  <si>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</si>
  <si>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</si>
  <si>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</si>
  <si>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</si>
  <si>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</si>
  <si>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</si>
  <si>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</si>
  <si>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</si>
  <si>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</si>
  <si>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</si>
  <si>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</si>
  <si>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</si>
  <si>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</si>
  <si>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</si>
  <si>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</si>
  <si>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</si>
  <si>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</si>
  <si>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</si>
  <si>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</si>
  <si>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</si>
  <si>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</si>
  <si>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</si>
  <si>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</si>
  <si>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</si>
  <si>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</si>
  <si>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</si>
  <si>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</si>
  <si>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</si>
  <si>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</si>
  <si>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</si>
  <si>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</si>
  <si>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</si>
  <si>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</si>
  <si>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</si>
  <si>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</si>
  <si>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</si>
  <si>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</si>
  <si>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</si>
  <si>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DEFS,LP</t>
  </si>
  <si>
    <t>DE T&amp;M</t>
  </si>
  <si>
    <t>Hobbs plant</t>
  </si>
  <si>
    <t>inactive</t>
  </si>
  <si>
    <t>Duke Energy Field Services LP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</si>
  <si>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</si>
  <si>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</si>
  <si>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</si>
  <si>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</si>
  <si>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</si>
  <si>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</si>
  <si>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</si>
  <si>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</si>
  <si>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</si>
  <si>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</si>
  <si>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</si>
  <si>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</si>
  <si>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</si>
  <si>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</si>
  <si>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</si>
  <si>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</si>
  <si>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</si>
  <si>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</si>
  <si>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Zinke and Trumbo</t>
  </si>
  <si>
    <t>State of Texas</t>
  </si>
  <si>
    <t>Navajo Tribal Utility Authority</t>
  </si>
  <si>
    <t>Southwest Royalties</t>
  </si>
  <si>
    <t>Giant Industries Arizona</t>
  </si>
  <si>
    <t>Duke Energy Field Services, LP</t>
  </si>
  <si>
    <t>Synergy Oil and Gas</t>
  </si>
  <si>
    <t>Himco</t>
  </si>
  <si>
    <t>Mid America</t>
  </si>
  <si>
    <t>POI 78003 - TW/SGTC Mojave Del</t>
  </si>
  <si>
    <t>SW Gas Transmission Co - contr27380</t>
  </si>
  <si>
    <t>SW Gas Transmission</t>
  </si>
  <si>
    <t>STB Energy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</si>
  <si>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</si>
  <si>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</si>
  <si>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</si>
  <si>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</si>
  <si>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</si>
  <si>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</si>
  <si>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</si>
  <si>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</si>
  <si>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</si>
  <si>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</si>
  <si>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</si>
  <si>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</si>
  <si>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</si>
  <si>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</si>
  <si>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</si>
  <si>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</si>
  <si>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</si>
  <si>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</si>
  <si>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</si>
  <si>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</si>
  <si>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</si>
  <si>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</si>
  <si>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</si>
  <si>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</si>
  <si>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</si>
  <si>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</si>
  <si>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</si>
  <si>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</si>
  <si>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Balance as of 12/31/00</t>
  </si>
  <si>
    <t>Cumulative</t>
  </si>
  <si>
    <t>estimated</t>
  </si>
  <si>
    <t xml:space="preserve">Duke Energy Field Services </t>
  </si>
  <si>
    <t>invoiced ending 1/31 balance $146k</t>
  </si>
  <si>
    <t>reconciling and working on payback plan</t>
  </si>
  <si>
    <t>Sched</t>
  </si>
  <si>
    <t>volumetric through 10/31/01 - majority of balance</t>
  </si>
  <si>
    <t>Mojave</t>
  </si>
  <si>
    <t>amount is related to 3/02 - previous vols to be cashed out</t>
  </si>
  <si>
    <t>balance is related to 3/2002 only - cashed out monthly</t>
  </si>
  <si>
    <t>will pay back vols and in 3/2002 and pay 1/2 in cash</t>
  </si>
  <si>
    <t>Boggess-Bandy</t>
  </si>
  <si>
    <t>Bails-Johnson</t>
  </si>
  <si>
    <t>Lakeview/Barnet</t>
  </si>
  <si>
    <t>Carthel-Frye</t>
  </si>
  <si>
    <t>E Shaffer#3</t>
  </si>
  <si>
    <t>Mills-Fleming</t>
  </si>
  <si>
    <t>contract 21725</t>
  </si>
  <si>
    <t>Eastern New Mexico</t>
  </si>
  <si>
    <t>PG&amp;E</t>
  </si>
  <si>
    <t>PGETX</t>
  </si>
  <si>
    <t>OneOK</t>
  </si>
  <si>
    <t>EPFS Eddy</t>
  </si>
  <si>
    <t>North Star Steele</t>
  </si>
  <si>
    <t>Citizens</t>
  </si>
  <si>
    <t>MiVida_Rich</t>
  </si>
  <si>
    <t>WTGMktg</t>
  </si>
  <si>
    <t>WTGinc</t>
  </si>
  <si>
    <t>Dominion</t>
  </si>
  <si>
    <t>Amarillo</t>
  </si>
  <si>
    <t>SWGasTrans</t>
  </si>
  <si>
    <t>Stratland</t>
  </si>
  <si>
    <t>Plains</t>
  </si>
  <si>
    <t xml:space="preserve">March </t>
  </si>
  <si>
    <t>Vol Imbalance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</si>
</sst>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42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  <font>
      <b/>
      <u val="singleAccounting"/>
      <sz val="8"/>
      <name val="Arial"/>
      <family val="2"/>
    </font>
    <font>
      <b/>
      <sz val="8"/>
      <color indexed="12"/>
      <name val="Arial"/>
      <family val="2"/>
    </font>
    <font>
      <sz val="8"/>
      <color indexed="13"/>
      <name val="Arial"/>
      <family val="2"/>
    </font>
    <font>
      <sz val="8"/>
      <color indexed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5" fontId="22" fillId="6" borderId="0" xfId="1" applyNumberFormat="1" applyFont="1" applyFill="1"/>
    <xf numFmtId="5" fontId="25" fillId="6" borderId="0" xfId="1" applyNumberFormat="1" applyFont="1" applyFill="1"/>
    <xf numFmtId="166" fontId="22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39" fontId="0" fillId="0" borderId="0" xfId="0" applyNumberFormat="1" applyBorder="1"/>
    <xf numFmtId="0" fontId="22" fillId="0" borderId="0" xfId="0" applyFont="1" applyBorder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5" fontId="9" fillId="7" borderId="0" xfId="0" applyNumberFormat="1" applyFont="1" applyFill="1"/>
    <xf numFmtId="7" fontId="9" fillId="7" borderId="0" xfId="1" applyNumberFormat="1" applyFont="1" applyFill="1"/>
    <xf numFmtId="7" fontId="35" fillId="7" borderId="1" xfId="1" applyNumberFormat="1" applyFont="1" applyFill="1" applyBorder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14" fontId="9" fillId="0" borderId="0" xfId="0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172" fontId="3" fillId="0" borderId="0" xfId="1" applyNumberFormat="1" applyFont="1"/>
    <xf numFmtId="172" fontId="9" fillId="0" borderId="0" xfId="1" applyNumberFormat="1" applyFont="1"/>
    <xf numFmtId="166" fontId="38" fillId="0" borderId="0" xfId="1" applyNumberFormat="1" applyFont="1"/>
    <xf numFmtId="7" fontId="38" fillId="0" borderId="0" xfId="0" applyNumberFormat="1" applyFont="1" applyAlignment="1">
      <alignment horizontal="center"/>
    </xf>
    <xf numFmtId="7" fontId="27" fillId="6" borderId="0" xfId="1" applyNumberFormat="1" applyFont="1" applyFill="1"/>
    <xf numFmtId="7" fontId="25" fillId="4" borderId="0" xfId="1" applyNumberFormat="1" applyFont="1" applyFill="1"/>
    <xf numFmtId="166" fontId="22" fillId="4" borderId="0" xfId="1" applyNumberFormat="1" applyFont="1" applyFill="1"/>
    <xf numFmtId="7" fontId="25" fillId="4" borderId="1" xfId="0" applyNumberFormat="1" applyFont="1" applyFill="1" applyBorder="1"/>
    <xf numFmtId="7" fontId="9" fillId="4" borderId="0" xfId="0" applyNumberFormat="1" applyFont="1" applyFill="1"/>
    <xf numFmtId="166" fontId="25" fillId="4" borderId="1" xfId="1" applyNumberFormat="1" applyFont="1" applyFill="1" applyBorder="1"/>
    <xf numFmtId="5" fontId="25" fillId="4" borderId="0" xfId="1" applyNumberFormat="1" applyFont="1" applyFill="1"/>
    <xf numFmtId="5" fontId="22" fillId="4" borderId="0" xfId="1" applyNumberFormat="1" applyFont="1" applyFill="1"/>
    <xf numFmtId="166" fontId="25" fillId="4" borderId="0" xfId="1" applyNumberFormat="1" applyFont="1" applyFill="1" applyBorder="1"/>
    <xf numFmtId="5" fontId="22" fillId="4" borderId="0" xfId="0" applyNumberFormat="1" applyFont="1" applyFill="1"/>
    <xf numFmtId="5" fontId="25" fillId="4" borderId="0" xfId="1" applyNumberFormat="1" applyFont="1" applyFill="1" applyAlignment="1"/>
    <xf numFmtId="166" fontId="0" fillId="4" borderId="0" xfId="1" applyNumberFormat="1" applyFont="1" applyFill="1" applyBorder="1"/>
    <xf numFmtId="7" fontId="25" fillId="4" borderId="0" xfId="0" applyNumberFormat="1" applyFont="1" applyFill="1"/>
    <xf numFmtId="0" fontId="0" fillId="4" borderId="0" xfId="0" applyFill="1"/>
    <xf numFmtId="166" fontId="9" fillId="4" borderId="0" xfId="1" applyNumberFormat="1" applyFont="1" applyFill="1"/>
    <xf numFmtId="7" fontId="9" fillId="3" borderId="0" xfId="1" applyNumberFormat="1" applyFont="1" applyFill="1"/>
    <xf numFmtId="5" fontId="25" fillId="3" borderId="1" xfId="0" applyNumberFormat="1" applyFont="1" applyFill="1" applyBorder="1"/>
    <xf numFmtId="166" fontId="22" fillId="3" borderId="0" xfId="1" applyNumberFormat="1" applyFont="1" applyFill="1"/>
    <xf numFmtId="0" fontId="0" fillId="3" borderId="0" xfId="0" applyFill="1"/>
    <xf numFmtId="5" fontId="25" fillId="4" borderId="1" xfId="1" applyNumberFormat="1" applyFont="1" applyFill="1" applyBorder="1"/>
    <xf numFmtId="5" fontId="33" fillId="3" borderId="1" xfId="0" applyNumberFormat="1" applyFont="1" applyFill="1" applyBorder="1"/>
    <xf numFmtId="166" fontId="29" fillId="7" borderId="0" xfId="1" applyNumberFormat="1" applyFont="1" applyFill="1"/>
    <xf numFmtId="5" fontId="29" fillId="0" borderId="0" xfId="0" applyNumberFormat="1" applyFont="1" applyBorder="1"/>
    <xf numFmtId="5" fontId="29" fillId="0" borderId="0" xfId="0" applyNumberFormat="1" applyFont="1" applyBorder="1" applyAlignment="1">
      <alignment horizontal="right"/>
    </xf>
    <xf numFmtId="5" fontId="29" fillId="0" borderId="1" xfId="0" applyNumberFormat="1" applyFont="1" applyBorder="1"/>
    <xf numFmtId="166" fontId="29" fillId="0" borderId="0" xfId="1" applyNumberFormat="1" applyFont="1" applyBorder="1" applyAlignment="1"/>
    <xf numFmtId="0" fontId="9" fillId="3" borderId="0" xfId="0" applyFont="1" applyFill="1"/>
    <xf numFmtId="5" fontId="17" fillId="0" borderId="0" xfId="0" applyNumberFormat="1" applyFont="1" applyBorder="1" applyAlignment="1">
      <alignment horizontal="right"/>
    </xf>
    <xf numFmtId="5" fontId="17" fillId="0" borderId="0" xfId="0" applyNumberFormat="1" applyFont="1" applyBorder="1"/>
    <xf numFmtId="5" fontId="17" fillId="0" borderId="1" xfId="0" applyNumberFormat="1" applyFont="1" applyBorder="1"/>
    <xf numFmtId="0" fontId="40" fillId="0" borderId="0" xfId="0" applyFont="1"/>
    <xf numFmtId="5" fontId="41" fillId="0" borderId="0" xfId="0" applyNumberFormat="1" applyFont="1" applyBorder="1"/>
    <xf numFmtId="14" fontId="3" fillId="0" borderId="0" xfId="1" applyNumberFormat="1" applyFont="1" applyAlignment="1">
      <alignment horizontal="right"/>
    </xf>
    <xf numFmtId="0" fontId="9" fillId="3" borderId="0" xfId="0" applyFont="1" applyFill="1" applyBorder="1"/>
    <xf numFmtId="0" fontId="14" fillId="0" borderId="1" xfId="0" applyFont="1" applyBorder="1"/>
    <xf numFmtId="166" fontId="29" fillId="3" borderId="1" xfId="1" applyNumberFormat="1" applyFont="1" applyFill="1" applyBorder="1"/>
    <xf numFmtId="166" fontId="25" fillId="7" borderId="1" xfId="1" applyNumberFormat="1" applyFont="1" applyFill="1" applyBorder="1"/>
    <xf numFmtId="166" fontId="25" fillId="7" borderId="1" xfId="0" applyNumberFormat="1" applyFont="1" applyFill="1" applyBorder="1"/>
    <xf numFmtId="166" fontId="25" fillId="7" borderId="0" xfId="1" applyNumberFormat="1" applyFont="1" applyFill="1" applyBorder="1"/>
    <xf numFmtId="5" fontId="25" fillId="7" borderId="0" xfId="1" applyNumberFormat="1" applyFont="1" applyFill="1"/>
    <xf numFmtId="166" fontId="22" fillId="7" borderId="0" xfId="1" applyNumberFormat="1" applyFont="1" applyFill="1"/>
    <xf numFmtId="44" fontId="25" fillId="7" borderId="0" xfId="2" applyFont="1" applyFill="1"/>
    <xf numFmtId="166" fontId="25" fillId="7" borderId="0" xfId="1" applyNumberFormat="1" applyFont="1" applyFill="1"/>
    <xf numFmtId="7" fontId="25" fillId="7" borderId="1" xfId="0" applyNumberFormat="1" applyFont="1" applyFill="1" applyBorder="1"/>
    <xf numFmtId="5" fontId="33" fillId="7" borderId="0" xfId="0" applyNumberFormat="1" applyFont="1" applyFill="1"/>
    <xf numFmtId="5" fontId="25" fillId="7" borderId="1" xfId="0" applyNumberFormat="1" applyFont="1" applyFill="1" applyBorder="1"/>
    <xf numFmtId="192" fontId="39" fillId="7" borderId="0" xfId="0" applyNumberFormat="1" applyFont="1" applyFill="1"/>
    <xf numFmtId="166" fontId="22" fillId="8" borderId="0" xfId="1" applyNumberFormat="1" applyFont="1" applyFill="1" applyBorder="1"/>
    <xf numFmtId="5" fontId="39" fillId="8" borderId="0" xfId="0" applyNumberFormat="1" applyFont="1" applyFill="1" applyBorder="1"/>
    <xf numFmtId="166" fontId="22" fillId="8" borderId="0" xfId="1" applyNumberFormat="1" applyFont="1" applyFill="1"/>
    <xf numFmtId="7" fontId="25" fillId="8" borderId="0" xfId="0" applyNumberFormat="1" applyFont="1" applyFill="1"/>
    <xf numFmtId="166" fontId="9" fillId="8" borderId="0" xfId="1" applyNumberFormat="1" applyFont="1" applyFill="1"/>
    <xf numFmtId="5" fontId="9" fillId="8" borderId="0" xfId="0" applyNumberFormat="1" applyFont="1" applyFill="1"/>
    <xf numFmtId="7" fontId="9" fillId="8" borderId="0" xfId="1" applyNumberFormat="1" applyFont="1" applyFill="1"/>
    <xf numFmtId="5" fontId="25" fillId="8" borderId="1" xfId="0" applyNumberFormat="1" applyFont="1" applyFill="1" applyBorder="1"/>
    <xf numFmtId="5" fontId="25" fillId="8" borderId="0" xfId="1" applyNumberFormat="1" applyFont="1" applyFill="1"/>
    <xf numFmtId="5" fontId="3" fillId="8" borderId="0" xfId="1" applyNumberFormat="1" applyFont="1" applyFill="1"/>
    <xf numFmtId="5" fontId="25" fillId="8" borderId="0" xfId="0" applyNumberFormat="1" applyFont="1" applyFill="1"/>
    <xf numFmtId="7" fontId="3" fillId="8" borderId="0" xfId="0" applyNumberFormat="1" applyFont="1" applyFill="1"/>
    <xf numFmtId="7" fontId="9" fillId="8" borderId="0" xfId="0" applyNumberFormat="1" applyFont="1" applyFill="1"/>
    <xf numFmtId="7" fontId="35" fillId="8" borderId="1" xfId="1" applyNumberFormat="1" applyFont="1" applyFill="1" applyBorder="1"/>
    <xf numFmtId="166" fontId="25" fillId="8" borderId="0" xfId="1" applyNumberFormat="1" applyFont="1" applyFill="1"/>
    <xf numFmtId="7" fontId="9" fillId="8" borderId="0" xfId="0" quotePrefix="1" applyNumberFormat="1" applyFont="1" applyFill="1"/>
    <xf numFmtId="5" fontId="25" fillId="8" borderId="0" xfId="0" applyNumberFormat="1" applyFont="1" applyFill="1" applyAlignment="1">
      <alignment horizontal="left" indent="2"/>
    </xf>
    <xf numFmtId="7" fontId="25" fillId="8" borderId="1" xfId="0" applyNumberFormat="1" applyFont="1" applyFill="1" applyBorder="1"/>
    <xf numFmtId="166" fontId="3" fillId="8" borderId="0" xfId="1" applyNumberFormat="1" applyFont="1" applyFill="1"/>
    <xf numFmtId="166" fontId="27" fillId="8" borderId="0" xfId="1" applyNumberFormat="1" applyFont="1" applyFill="1"/>
    <xf numFmtId="37" fontId="25" fillId="8" borderId="0" xfId="1" applyNumberFormat="1" applyFont="1" applyFill="1" applyBorder="1"/>
    <xf numFmtId="37" fontId="25" fillId="8" borderId="0" xfId="1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1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203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2.4900000000000002</v>
          </cell>
          <cell r="K39">
            <v>2.48</v>
          </cell>
          <cell r="M39">
            <v>2.48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7"/>
  <sheetViews>
    <sheetView tabSelected="1" workbookViewId="0">
      <selection activeCell="B47" sqref="B47"/>
    </sheetView>
  </sheetViews>
  <sheetFormatPr defaultRowHeight="13.2" x14ac:dyDescent="0.25"/>
  <cols>
    <col min="1" max="1" width="15.44140625" bestFit="1" customWidth="1"/>
    <col min="2" max="2" width="15.44140625" style="251" bestFit="1" customWidth="1"/>
  </cols>
  <sheetData>
    <row r="2" spans="1:3" x14ac:dyDescent="0.25">
      <c r="B2" s="140" t="s">
        <v>340</v>
      </c>
    </row>
    <row r="3" spans="1:3" x14ac:dyDescent="0.25">
      <c r="B3" s="140" t="s">
        <v>341</v>
      </c>
    </row>
    <row r="5" spans="1:3" x14ac:dyDescent="0.25">
      <c r="A5" t="s">
        <v>28</v>
      </c>
      <c r="B5" s="251">
        <f>+williams!J35</f>
        <v>20367</v>
      </c>
      <c r="C5" s="65">
        <f>+williams!A40</f>
        <v>37326</v>
      </c>
    </row>
    <row r="6" spans="1:3" x14ac:dyDescent="0.25">
      <c r="A6" t="s">
        <v>31</v>
      </c>
      <c r="B6" s="251">
        <f>+Lonestar!F36</f>
        <v>-21529</v>
      </c>
      <c r="C6" s="65">
        <f>+Lonestar!A43</f>
        <v>37325</v>
      </c>
    </row>
    <row r="7" spans="1:3" x14ac:dyDescent="0.25">
      <c r="A7" t="s">
        <v>326</v>
      </c>
      <c r="B7" s="251">
        <f>+'PG&amp;E'!D35</f>
        <v>-1260</v>
      </c>
      <c r="C7" s="65">
        <f>+'PG&amp;E'!A40</f>
        <v>37326</v>
      </c>
    </row>
    <row r="8" spans="1:3" x14ac:dyDescent="0.25">
      <c r="A8" t="s">
        <v>32</v>
      </c>
      <c r="B8" s="251">
        <f>+SoCal!F35</f>
        <v>-136418</v>
      </c>
      <c r="C8" s="65">
        <f>+SoCal!A40</f>
        <v>37326</v>
      </c>
    </row>
    <row r="9" spans="1:3" x14ac:dyDescent="0.25">
      <c r="A9" t="s">
        <v>327</v>
      </c>
      <c r="B9" s="251">
        <f>+PGETX!H35</f>
        <v>6835</v>
      </c>
      <c r="C9" s="65">
        <f>+PGETX!E39</f>
        <v>37325</v>
      </c>
    </row>
    <row r="10" spans="1:3" x14ac:dyDescent="0.25">
      <c r="A10" t="s">
        <v>33</v>
      </c>
      <c r="B10" s="251">
        <f>+'El Paso'!H36</f>
        <v>-38282</v>
      </c>
      <c r="C10" s="65">
        <f>+'El Paso'!A39</f>
        <v>37326</v>
      </c>
    </row>
    <row r="11" spans="1:3" x14ac:dyDescent="0.25">
      <c r="A11" t="s">
        <v>23</v>
      </c>
      <c r="B11" s="251">
        <f>+'Red C'!F39</f>
        <v>-29140</v>
      </c>
      <c r="C11" s="65">
        <f>+'Red C'!A45</f>
        <v>37326</v>
      </c>
    </row>
    <row r="12" spans="1:3" x14ac:dyDescent="0.25">
      <c r="A12" t="s">
        <v>287</v>
      </c>
      <c r="B12" s="251">
        <f>+Amoco!D37</f>
        <v>-2822</v>
      </c>
      <c r="C12" s="65">
        <f>+Amoco!A40</f>
        <v>37325</v>
      </c>
    </row>
    <row r="13" spans="1:3" x14ac:dyDescent="0.25">
      <c r="A13" t="s">
        <v>6</v>
      </c>
      <c r="B13" s="251">
        <f>+Oasis!D36</f>
        <v>3102</v>
      </c>
      <c r="C13" s="65">
        <f>+Oasis!A40</f>
        <v>37325</v>
      </c>
    </row>
    <row r="14" spans="1:3" x14ac:dyDescent="0.25">
      <c r="A14" t="s">
        <v>79</v>
      </c>
      <c r="B14" s="251">
        <f>+Agave!D19</f>
        <v>38069</v>
      </c>
      <c r="C14" s="65">
        <f>+Agave!A25</f>
        <v>37326</v>
      </c>
    </row>
    <row r="15" spans="1:3" x14ac:dyDescent="0.25">
      <c r="A15" t="s">
        <v>80</v>
      </c>
      <c r="B15" s="251">
        <f>+Conoco!F35</f>
        <v>-33191</v>
      </c>
      <c r="C15" s="65">
        <f>+Conoco!A41</f>
        <v>37326</v>
      </c>
    </row>
    <row r="16" spans="1:3" x14ac:dyDescent="0.25">
      <c r="A16" t="s">
        <v>1</v>
      </c>
      <c r="B16" s="251">
        <f>+NW!F36</f>
        <v>2516</v>
      </c>
      <c r="C16" s="65">
        <f>+NW!B41</f>
        <v>37325</v>
      </c>
    </row>
    <row r="17" spans="1:3" x14ac:dyDescent="0.25">
      <c r="A17" t="s">
        <v>71</v>
      </c>
      <c r="B17" s="251">
        <f>+transcol!D39</f>
        <v>-2478</v>
      </c>
      <c r="C17" s="65">
        <f>+transcol!A43</f>
        <v>37325</v>
      </c>
    </row>
    <row r="18" spans="1:3" x14ac:dyDescent="0.25">
      <c r="A18" t="s">
        <v>138</v>
      </c>
      <c r="B18" s="251">
        <f>+Duke!B18+Duke!B31+Duke!B46+DEFS!C36+DEFS!E36</f>
        <v>16426</v>
      </c>
      <c r="C18" s="65">
        <f>+Duke!A7</f>
        <v>37323</v>
      </c>
    </row>
    <row r="19" spans="1:3" x14ac:dyDescent="0.25">
      <c r="A19" t="s">
        <v>2</v>
      </c>
      <c r="B19" s="251">
        <f>+mewborne!J39</f>
        <v>-4124</v>
      </c>
      <c r="C19" s="65">
        <f>+mewborne!A43</f>
        <v>37326</v>
      </c>
    </row>
    <row r="20" spans="1:3" x14ac:dyDescent="0.25">
      <c r="A20" t="s">
        <v>3</v>
      </c>
      <c r="B20" s="251">
        <f>+'Amoco Abo'!F39</f>
        <v>23760</v>
      </c>
      <c r="C20" s="65">
        <f>+'Amoco Abo'!A43</f>
        <v>37326</v>
      </c>
    </row>
    <row r="21" spans="1:3" x14ac:dyDescent="0.25">
      <c r="A21" t="s">
        <v>87</v>
      </c>
      <c r="B21" s="251">
        <f>+NNG!D18</f>
        <v>3200</v>
      </c>
      <c r="C21" s="65">
        <f>+NNG!A24</f>
        <v>37326</v>
      </c>
    </row>
    <row r="22" spans="1:3" x14ac:dyDescent="0.25">
      <c r="A22" t="s">
        <v>82</v>
      </c>
      <c r="B22" s="251">
        <f>+PNM!D17</f>
        <v>-53954</v>
      </c>
      <c r="C22" s="65">
        <f>+PNM!A23</f>
        <v>37326</v>
      </c>
    </row>
    <row r="23" spans="1:3" x14ac:dyDescent="0.25">
      <c r="A23" t="s">
        <v>88</v>
      </c>
      <c r="B23" s="251">
        <f>+NGPL!H34</f>
        <v>-27410</v>
      </c>
      <c r="C23" s="65">
        <f>+NGPL!A38</f>
        <v>37324</v>
      </c>
    </row>
    <row r="24" spans="1:3" x14ac:dyDescent="0.25">
      <c r="A24" t="s">
        <v>314</v>
      </c>
      <c r="B24" s="251">
        <f>+Mojave!D35</f>
        <v>823</v>
      </c>
      <c r="C24" s="65">
        <f>+Mojave!A40</f>
        <v>37325</v>
      </c>
    </row>
    <row r="25" spans="1:3" x14ac:dyDescent="0.25">
      <c r="A25" t="s">
        <v>103</v>
      </c>
      <c r="B25" s="251">
        <f>+EOG!J35</f>
        <v>-24804</v>
      </c>
      <c r="C25" s="65">
        <f>+EOG!A41</f>
        <v>37325</v>
      </c>
    </row>
    <row r="26" spans="1:3" x14ac:dyDescent="0.25">
      <c r="A26" t="s">
        <v>328</v>
      </c>
      <c r="B26" s="251">
        <f>+KN_Westar!F37</f>
        <v>5700</v>
      </c>
      <c r="C26" s="65">
        <f>+KN_Westar!A41</f>
        <v>37317</v>
      </c>
    </row>
    <row r="27" spans="1:3" x14ac:dyDescent="0.25">
      <c r="A27" t="s">
        <v>109</v>
      </c>
      <c r="B27" s="251">
        <f>+Continental!F39</f>
        <v>812</v>
      </c>
      <c r="C27" s="65">
        <f>+Continental!A43</f>
        <v>37324</v>
      </c>
    </row>
    <row r="28" spans="1:3" x14ac:dyDescent="0.25">
      <c r="A28" t="s">
        <v>110</v>
      </c>
      <c r="B28" s="251">
        <f>+CIG!D39</f>
        <v>0</v>
      </c>
    </row>
    <row r="29" spans="1:3" x14ac:dyDescent="0.25">
      <c r="A29" t="s">
        <v>127</v>
      </c>
      <c r="B29" s="251">
        <f>+Calpine!D37</f>
        <v>-2286</v>
      </c>
      <c r="C29" s="65">
        <f>+Calpine!A41</f>
        <v>37325</v>
      </c>
    </row>
    <row r="30" spans="1:3" x14ac:dyDescent="0.25">
      <c r="A30" t="s">
        <v>329</v>
      </c>
      <c r="B30" s="251">
        <f>+EPFS!D37</f>
        <v>-9600</v>
      </c>
      <c r="C30" s="65">
        <f>+EPFS!A41</f>
        <v>37326</v>
      </c>
    </row>
    <row r="31" spans="1:3" x14ac:dyDescent="0.25">
      <c r="A31" t="s">
        <v>131</v>
      </c>
      <c r="B31" s="251">
        <f>+SidR!D39</f>
        <v>-2898.36</v>
      </c>
      <c r="C31" s="65">
        <f>+SidR!A41</f>
        <v>37326</v>
      </c>
    </row>
    <row r="32" spans="1:3" x14ac:dyDescent="0.25">
      <c r="A32" t="s">
        <v>330</v>
      </c>
      <c r="B32" s="251">
        <f>+'NS Steel'!D37</f>
        <v>1814</v>
      </c>
      <c r="C32" s="65">
        <f>+'NS Steel'!A41</f>
        <v>37326</v>
      </c>
    </row>
    <row r="33" spans="1:3" x14ac:dyDescent="0.25">
      <c r="A33" t="s">
        <v>139</v>
      </c>
      <c r="B33" s="251">
        <f>+'Citizens-Griffith'!D37</f>
        <v>-8224</v>
      </c>
      <c r="C33" s="65">
        <f>+'Citizens-Griffith'!A41</f>
        <v>37325</v>
      </c>
    </row>
    <row r="34" spans="1:3" x14ac:dyDescent="0.25">
      <c r="A34" t="s">
        <v>331</v>
      </c>
      <c r="B34" s="251">
        <f>+Citizens!D14</f>
        <v>-10547.44</v>
      </c>
      <c r="C34" s="65">
        <f>+Citizens!A18</f>
        <v>37325</v>
      </c>
    </row>
    <row r="35" spans="1:3" x14ac:dyDescent="0.25">
      <c r="A35" t="s">
        <v>257</v>
      </c>
      <c r="B35" s="251">
        <f>+PEPL!D37</f>
        <v>10301</v>
      </c>
      <c r="C35" s="65">
        <f>+PEPL!A41</f>
        <v>37325</v>
      </c>
    </row>
    <row r="36" spans="1:3" x14ac:dyDescent="0.25">
      <c r="A36" t="s">
        <v>332</v>
      </c>
      <c r="B36" s="251">
        <f>+MiVida_Rich!D39</f>
        <v>0</v>
      </c>
    </row>
    <row r="37" spans="1:3" x14ac:dyDescent="0.25">
      <c r="A37" t="s">
        <v>333</v>
      </c>
      <c r="B37" s="251">
        <f>+WTGmktg!J37</f>
        <v>3230</v>
      </c>
      <c r="C37" s="65">
        <f>+WTGmktg!A43</f>
        <v>37323</v>
      </c>
    </row>
    <row r="38" spans="1:3" x14ac:dyDescent="0.25">
      <c r="A38" t="s">
        <v>334</v>
      </c>
      <c r="B38" s="251">
        <f>+'WTG inc'!N37</f>
        <v>-1058</v>
      </c>
      <c r="C38" s="65">
        <f>+'WTG inc'!A43</f>
        <v>37323</v>
      </c>
    </row>
    <row r="39" spans="1:3" x14ac:dyDescent="0.25">
      <c r="A39" t="s">
        <v>335</v>
      </c>
      <c r="B39" s="251">
        <f>+Dominion!D37</f>
        <v>-438</v>
      </c>
      <c r="C39" s="65">
        <f>+Dominion!A41</f>
        <v>37325</v>
      </c>
    </row>
    <row r="40" spans="1:3" x14ac:dyDescent="0.25">
      <c r="A40" t="s">
        <v>209</v>
      </c>
      <c r="B40" s="251">
        <f>+Devon!D37</f>
        <v>3869</v>
      </c>
      <c r="C40" s="65">
        <f>+Devon!A41</f>
        <v>37325</v>
      </c>
    </row>
    <row r="41" spans="1:3" x14ac:dyDescent="0.25">
      <c r="A41" t="s">
        <v>336</v>
      </c>
      <c r="B41" s="251">
        <f>+Amarillo!P37</f>
        <v>7997</v>
      </c>
      <c r="C41" s="65">
        <f>+Amarillo!A41</f>
        <v>37324</v>
      </c>
    </row>
    <row r="42" spans="1:3" x14ac:dyDescent="0.25">
      <c r="A42" t="s">
        <v>337</v>
      </c>
      <c r="B42" s="251">
        <f>+SWGasTrans!D37</f>
        <v>1529</v>
      </c>
      <c r="C42" s="65">
        <f>+SWGasTrans!A41</f>
        <v>37325</v>
      </c>
    </row>
    <row r="43" spans="1:3" x14ac:dyDescent="0.25">
      <c r="A43" t="s">
        <v>338</v>
      </c>
      <c r="B43" s="251">
        <f>+Stratland!D39</f>
        <v>0</v>
      </c>
    </row>
    <row r="44" spans="1:3" x14ac:dyDescent="0.25">
      <c r="A44" t="s">
        <v>339</v>
      </c>
      <c r="B44" s="251">
        <f>+Plains!N37</f>
        <v>0</v>
      </c>
    </row>
    <row r="45" spans="1:3" x14ac:dyDescent="0.25">
      <c r="A45" t="s">
        <v>95</v>
      </c>
      <c r="B45" s="251">
        <f>+burlington!D38</f>
        <v>2689</v>
      </c>
      <c r="C45" s="65">
        <f>+burlington!A42</f>
        <v>37325</v>
      </c>
    </row>
    <row r="47" spans="1:3" x14ac:dyDescent="0.25">
      <c r="B47" s="251">
        <f>SUM(B5:B46)</f>
        <v>-257424.8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36" workbookViewId="0">
      <selection activeCell="B17" sqref="B17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5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5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144345</v>
      </c>
      <c r="C8" s="11">
        <v>144238</v>
      </c>
      <c r="D8" s="11">
        <v>21111</v>
      </c>
      <c r="E8" s="11">
        <v>16790</v>
      </c>
      <c r="F8" s="11">
        <f>+C8-B8+E8-D8</f>
        <v>-4428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144519</v>
      </c>
      <c r="C9" s="11">
        <v>143911</v>
      </c>
      <c r="D9" s="11">
        <v>19863</v>
      </c>
      <c r="E9" s="11">
        <v>20284</v>
      </c>
      <c r="F9" s="11">
        <f t="shared" ref="F9:F39" si="5">+C9-B9+E9-D9</f>
        <v>-187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143979</v>
      </c>
      <c r="C10" s="11">
        <v>143773</v>
      </c>
      <c r="D10" s="11">
        <v>19802</v>
      </c>
      <c r="E10" s="11">
        <v>20284</v>
      </c>
      <c r="F10" s="11">
        <f t="shared" si="5"/>
        <v>276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144558</v>
      </c>
      <c r="C11" s="11">
        <v>143722</v>
      </c>
      <c r="D11" s="11">
        <v>19333</v>
      </c>
      <c r="E11" s="11">
        <v>20284</v>
      </c>
      <c r="F11" s="11">
        <f t="shared" si="5"/>
        <v>115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>
        <v>144384</v>
      </c>
      <c r="C12" s="11">
        <v>143384</v>
      </c>
      <c r="D12" s="11">
        <v>21226</v>
      </c>
      <c r="E12" s="11">
        <v>20284</v>
      </c>
      <c r="F12" s="11">
        <f t="shared" si="5"/>
        <v>-1942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>
        <v>166219</v>
      </c>
      <c r="C13" s="11">
        <v>165477</v>
      </c>
      <c r="D13" s="11">
        <v>20514</v>
      </c>
      <c r="E13" s="11">
        <v>19839</v>
      </c>
      <c r="F13" s="11">
        <f t="shared" si="5"/>
        <v>-1417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>
        <v>170788</v>
      </c>
      <c r="C14" s="11">
        <v>167143</v>
      </c>
      <c r="D14" s="11">
        <v>21126</v>
      </c>
      <c r="E14" s="11">
        <v>19176</v>
      </c>
      <c r="F14" s="11">
        <f t="shared" si="5"/>
        <v>-5595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>
        <v>170816</v>
      </c>
      <c r="C15" s="11">
        <v>167651</v>
      </c>
      <c r="D15" s="129">
        <v>21078</v>
      </c>
      <c r="E15" s="11">
        <v>20284</v>
      </c>
      <c r="F15" s="11">
        <f t="shared" si="5"/>
        <v>-3959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>
        <v>165827</v>
      </c>
      <c r="C16" s="11">
        <v>156121</v>
      </c>
      <c r="D16" s="129">
        <v>20913</v>
      </c>
      <c r="E16" s="11">
        <v>20284</v>
      </c>
      <c r="F16" s="11">
        <f t="shared" si="5"/>
        <v>-10335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>
        <v>164645</v>
      </c>
      <c r="C17" s="11">
        <v>164120</v>
      </c>
      <c r="D17" s="11">
        <v>21427</v>
      </c>
      <c r="E17" s="11">
        <v>20284</v>
      </c>
      <c r="F17" s="11">
        <f t="shared" si="5"/>
        <v>-1668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492">
        <f>+A45</f>
        <v>37326</v>
      </c>
      <c r="I23" s="11">
        <f>+B39</f>
        <v>1560080</v>
      </c>
      <c r="J23" s="11">
        <f>+C39</f>
        <v>1539540</v>
      </c>
      <c r="K23" s="11">
        <f>+D39</f>
        <v>206393</v>
      </c>
      <c r="L23" s="11">
        <f>+E39</f>
        <v>197793</v>
      </c>
      <c r="M23" s="42">
        <f>+J23-I23+L23-K23</f>
        <v>-29140</v>
      </c>
      <c r="N23" s="102">
        <f>+summary!G3</f>
        <v>2.48</v>
      </c>
      <c r="O23" s="494">
        <f>+N23*M23</f>
        <v>-72267.199999999997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29"/>
      <c r="C24" s="11"/>
      <c r="D24" s="11"/>
      <c r="E24" s="11"/>
      <c r="F24" s="11">
        <f t="shared" si="5"/>
        <v>0</v>
      </c>
      <c r="G24" s="268"/>
      <c r="H24" s="168"/>
      <c r="I24" s="11"/>
      <c r="J24" s="11"/>
      <c r="K24" s="11"/>
      <c r="L24" s="142"/>
      <c r="M24" s="493">
        <f>SUM(M9:M23)</f>
        <v>60660</v>
      </c>
      <c r="N24" s="102"/>
      <c r="O24" s="102">
        <f>SUM(O9:O23)</f>
        <v>495849.13999999996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50</v>
      </c>
      <c r="B25" s="129"/>
      <c r="C25" s="11"/>
      <c r="D25" s="11"/>
      <c r="E25" s="11"/>
      <c r="F25" s="11">
        <f t="shared" si="5"/>
        <v>0</v>
      </c>
      <c r="G25" s="306"/>
      <c r="H25" s="491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303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303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1560080</v>
      </c>
      <c r="C39" s="150">
        <f>SUM(C8:C38)</f>
        <v>1539540</v>
      </c>
      <c r="D39" s="150">
        <f>SUM(D8:D38)</f>
        <v>206393</v>
      </c>
      <c r="E39" s="150">
        <f>SUM(E8:E38)</f>
        <v>197793</v>
      </c>
      <c r="F39" s="11">
        <f t="shared" si="5"/>
        <v>-29140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32"/>
      <c r="B41" s="32"/>
      <c r="C41" s="15"/>
      <c r="D41" s="15"/>
      <c r="E41" s="15"/>
      <c r="F41" s="487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57">
        <v>37315</v>
      </c>
      <c r="B44" s="32"/>
      <c r="C44" s="459"/>
      <c r="D44" s="111"/>
      <c r="E44" s="459"/>
      <c r="F44" s="620">
        <f>30072+34117</f>
        <v>64189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57">
        <v>37326</v>
      </c>
      <c r="B45" s="32"/>
      <c r="C45" s="106"/>
      <c r="D45" s="106"/>
      <c r="E45" s="106"/>
      <c r="F45" s="24">
        <f>+F44+F39</f>
        <v>35049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8" thickTop="1" x14ac:dyDescent="0.25">
      <c r="A49" s="32" t="s">
        <v>286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5">
      <c r="A50" s="49">
        <f>+A44</f>
        <v>37315</v>
      </c>
      <c r="B50" s="32"/>
      <c r="C50" s="32"/>
      <c r="D50" s="486">
        <v>481386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5">
      <c r="A51" s="49">
        <f>+A45</f>
        <v>37326</v>
      </c>
      <c r="B51" s="32"/>
      <c r="C51" s="32"/>
      <c r="D51" s="348">
        <f>+F39*summary!G3</f>
        <v>-72267.199999999997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5">
      <c r="A52" s="32"/>
      <c r="B52" s="32"/>
      <c r="C52" s="32"/>
      <c r="D52" s="14">
        <f>+D51+D50</f>
        <v>409118.8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5">
      <c r="D53" s="374"/>
      <c r="F53" s="34">
        <f>+D52/F45</f>
        <v>11.6727666980513</v>
      </c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5">
      <c r="D54" s="374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5">
      <c r="D55" s="374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5">
      <c r="D56" s="374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5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5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5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5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5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5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5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31" workbookViewId="0">
      <selection activeCell="C35" sqref="C35"/>
    </sheetView>
  </sheetViews>
  <sheetFormatPr defaultRowHeight="13.2" x14ac:dyDescent="0.25"/>
  <cols>
    <col min="1" max="1" width="10.33203125" bestFit="1" customWidth="1"/>
    <col min="2" max="2" width="10.33203125" customWidth="1"/>
    <col min="3" max="3" width="10.6640625" bestFit="1" customWidth="1"/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4"/>
      <c r="B4" s="34" t="s">
        <v>182</v>
      </c>
      <c r="C4" s="285"/>
      <c r="D4" s="285"/>
      <c r="E4" s="3"/>
      <c r="F4" s="1"/>
      <c r="I4" s="3"/>
      <c r="J4" s="1"/>
      <c r="M4" s="3"/>
      <c r="N4" s="1"/>
    </row>
    <row r="5" spans="1:16" x14ac:dyDescent="0.25">
      <c r="A5" s="342" t="s">
        <v>10</v>
      </c>
      <c r="B5" s="427" t="s">
        <v>19</v>
      </c>
      <c r="C5" s="427" t="s">
        <v>20</v>
      </c>
      <c r="D5" s="427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" customHeight="1" x14ac:dyDescent="0.25">
      <c r="A6" s="428">
        <v>1</v>
      </c>
      <c r="B6" s="409">
        <v>152938</v>
      </c>
      <c r="C6" s="409">
        <v>152909</v>
      </c>
      <c r="D6" s="307">
        <f>+C6-B6</f>
        <v>-29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" customHeight="1" x14ac:dyDescent="0.25">
      <c r="A7" s="428">
        <v>2</v>
      </c>
      <c r="B7" s="435">
        <v>163609</v>
      </c>
      <c r="C7" s="409">
        <v>164724</v>
      </c>
      <c r="D7" s="307">
        <f>+C7-B7</f>
        <v>1115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" customHeight="1" x14ac:dyDescent="0.25">
      <c r="A8" s="428">
        <v>3</v>
      </c>
      <c r="B8" s="435">
        <v>163015</v>
      </c>
      <c r="C8" s="409">
        <v>164724</v>
      </c>
      <c r="D8" s="307">
        <f t="shared" ref="D8:D36" si="0">+C8-B8</f>
        <v>1709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" customHeight="1" x14ac:dyDescent="0.25">
      <c r="A9" s="428">
        <v>4</v>
      </c>
      <c r="B9" s="435">
        <v>165365</v>
      </c>
      <c r="C9" s="409">
        <v>164724</v>
      </c>
      <c r="D9" s="307">
        <f t="shared" si="0"/>
        <v>-641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" customHeight="1" x14ac:dyDescent="0.25">
      <c r="A10" s="428">
        <v>5</v>
      </c>
      <c r="B10" s="435">
        <v>155694</v>
      </c>
      <c r="C10" s="409">
        <v>155505</v>
      </c>
      <c r="D10" s="307">
        <f t="shared" si="0"/>
        <v>-189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" customHeight="1" x14ac:dyDescent="0.25">
      <c r="A11" s="428">
        <v>6</v>
      </c>
      <c r="B11" s="435">
        <v>155015</v>
      </c>
      <c r="C11" s="409">
        <v>157679</v>
      </c>
      <c r="D11" s="307">
        <f t="shared" si="0"/>
        <v>2664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" customHeight="1" x14ac:dyDescent="0.25">
      <c r="A12" s="428">
        <v>7</v>
      </c>
      <c r="B12" s="435">
        <v>148756</v>
      </c>
      <c r="C12" s="409">
        <v>146528</v>
      </c>
      <c r="D12" s="307">
        <f t="shared" si="0"/>
        <v>-2228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" customHeight="1" x14ac:dyDescent="0.25">
      <c r="A13" s="428">
        <v>8</v>
      </c>
      <c r="B13" s="435">
        <v>153262</v>
      </c>
      <c r="C13" s="409">
        <v>151937</v>
      </c>
      <c r="D13" s="307">
        <f t="shared" si="0"/>
        <v>-1325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" customHeight="1" x14ac:dyDescent="0.25">
      <c r="A14" s="428">
        <v>9</v>
      </c>
      <c r="B14" s="409">
        <v>154348</v>
      </c>
      <c r="C14" s="409">
        <v>152961</v>
      </c>
      <c r="D14" s="307">
        <f t="shared" si="0"/>
        <v>-1387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" customHeight="1" x14ac:dyDescent="0.25">
      <c r="A15" s="428">
        <v>10</v>
      </c>
      <c r="B15" s="409">
        <v>155472</v>
      </c>
      <c r="C15" s="409">
        <v>152961</v>
      </c>
      <c r="D15" s="307">
        <f t="shared" si="0"/>
        <v>-2511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" customHeight="1" x14ac:dyDescent="0.25">
      <c r="A16" s="428">
        <v>11</v>
      </c>
      <c r="B16" s="409"/>
      <c r="C16" s="409"/>
      <c r="D16" s="307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" customHeight="1" x14ac:dyDescent="0.25">
      <c r="A17" s="428">
        <v>12</v>
      </c>
      <c r="B17" s="409"/>
      <c r="C17" s="409"/>
      <c r="D17" s="307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" customHeight="1" x14ac:dyDescent="0.25">
      <c r="A18" s="428">
        <v>13</v>
      </c>
      <c r="B18" s="409"/>
      <c r="C18" s="409"/>
      <c r="D18" s="307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" customHeight="1" x14ac:dyDescent="0.25">
      <c r="A19" s="428">
        <v>14</v>
      </c>
      <c r="B19" s="409"/>
      <c r="C19" s="409"/>
      <c r="D19" s="307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" customHeight="1" x14ac:dyDescent="0.25">
      <c r="A20" s="428">
        <v>15</v>
      </c>
      <c r="B20" s="409"/>
      <c r="C20" s="409"/>
      <c r="D20" s="307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" customHeight="1" x14ac:dyDescent="0.25">
      <c r="A21" s="428">
        <v>16</v>
      </c>
      <c r="B21" s="409"/>
      <c r="C21" s="409"/>
      <c r="D21" s="307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" customHeight="1" x14ac:dyDescent="0.25">
      <c r="A22" s="428">
        <v>17</v>
      </c>
      <c r="B22" s="435"/>
      <c r="C22" s="409"/>
      <c r="D22" s="307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" customHeight="1" x14ac:dyDescent="0.25">
      <c r="A23" s="428">
        <v>18</v>
      </c>
      <c r="B23" s="435"/>
      <c r="C23" s="409"/>
      <c r="D23" s="307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" customHeight="1" x14ac:dyDescent="0.25">
      <c r="A24" s="428">
        <v>19</v>
      </c>
      <c r="B24" s="435"/>
      <c r="C24" s="435"/>
      <c r="D24" s="480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" customHeight="1" x14ac:dyDescent="0.25">
      <c r="A25" s="428">
        <v>20</v>
      </c>
      <c r="B25" s="435"/>
      <c r="C25" s="435"/>
      <c r="D25" s="480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" customHeight="1" x14ac:dyDescent="0.25">
      <c r="A26" s="428">
        <v>21</v>
      </c>
      <c r="B26" s="435"/>
      <c r="C26" s="435"/>
      <c r="D26" s="480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" customHeight="1" x14ac:dyDescent="0.25">
      <c r="A27" s="428">
        <v>22</v>
      </c>
      <c r="B27" s="435"/>
      <c r="C27" s="435"/>
      <c r="D27" s="480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" customHeight="1" x14ac:dyDescent="0.25">
      <c r="A28" s="428">
        <v>23</v>
      </c>
      <c r="B28" s="435"/>
      <c r="C28" s="435"/>
      <c r="D28" s="480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" customHeight="1" x14ac:dyDescent="0.25">
      <c r="A29" s="428">
        <v>24</v>
      </c>
      <c r="B29" s="435"/>
      <c r="C29" s="435"/>
      <c r="D29" s="480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" customHeight="1" x14ac:dyDescent="0.25">
      <c r="A30" s="428">
        <v>25</v>
      </c>
      <c r="B30" s="435"/>
      <c r="C30" s="435"/>
      <c r="D30" s="480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" customHeight="1" x14ac:dyDescent="0.25">
      <c r="A31" s="428">
        <v>26</v>
      </c>
      <c r="B31" s="409"/>
      <c r="C31" s="409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" customHeight="1" x14ac:dyDescent="0.25">
      <c r="A32" s="428">
        <v>27</v>
      </c>
      <c r="B32" s="409"/>
      <c r="C32" s="409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" customHeight="1" x14ac:dyDescent="0.25">
      <c r="A33" s="428">
        <v>28</v>
      </c>
      <c r="B33" s="409"/>
      <c r="C33" s="409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" customHeight="1" x14ac:dyDescent="0.25">
      <c r="A34" s="428">
        <v>29</v>
      </c>
      <c r="B34" s="409"/>
      <c r="C34" s="409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" customHeight="1" x14ac:dyDescent="0.25">
      <c r="A35" s="428">
        <v>30</v>
      </c>
      <c r="B35" s="409"/>
      <c r="C35" s="409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" customHeight="1" x14ac:dyDescent="0.25">
      <c r="A36" s="428">
        <v>31</v>
      </c>
      <c r="B36" s="409"/>
      <c r="C36" s="409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428"/>
      <c r="B37" s="409">
        <f>SUM(B6:B36)</f>
        <v>1567474</v>
      </c>
      <c r="C37" s="409">
        <f>SUM(C6:C36)</f>
        <v>1564652</v>
      </c>
      <c r="D37" s="409">
        <f>SUM(D6:D36)</f>
        <v>-2822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5">
      <c r="A38" s="429"/>
      <c r="B38" s="285"/>
      <c r="C38" s="430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5">
      <c r="A39" s="56">
        <v>37315</v>
      </c>
      <c r="B39" s="285"/>
      <c r="C39" s="433"/>
      <c r="D39" s="625">
        <f>28749-30200</f>
        <v>-1451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5">
      <c r="A40" s="56">
        <v>37325</v>
      </c>
      <c r="B40" s="285"/>
      <c r="C40" s="434"/>
      <c r="D40" s="307">
        <f>+D39+D37</f>
        <v>-4273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5">
      <c r="C41" s="47"/>
      <c r="H41" s="246"/>
      <c r="I41" s="246"/>
      <c r="J41" s="246"/>
      <c r="K41" s="246"/>
      <c r="L41" s="246"/>
    </row>
    <row r="42" spans="1:16" x14ac:dyDescent="0.25">
      <c r="A42" s="57"/>
      <c r="C42" s="50"/>
      <c r="D42" s="25"/>
      <c r="H42" s="246"/>
      <c r="I42" s="246"/>
      <c r="J42" s="246"/>
      <c r="K42" s="246"/>
      <c r="L42" s="246"/>
    </row>
    <row r="43" spans="1:16" x14ac:dyDescent="0.25">
      <c r="A43" s="57"/>
      <c r="C43" s="50"/>
      <c r="H43" s="246"/>
      <c r="I43" s="246"/>
      <c r="J43" s="246"/>
      <c r="K43" s="246"/>
      <c r="L43" s="246"/>
    </row>
    <row r="44" spans="1:16" x14ac:dyDescent="0.25">
      <c r="A44" s="32" t="s">
        <v>149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5">
      <c r="A45" s="49">
        <f>+A39</f>
        <v>37315</v>
      </c>
      <c r="B45" s="32"/>
      <c r="C45" s="32"/>
      <c r="D45" s="485">
        <v>336911</v>
      </c>
    </row>
    <row r="46" spans="1:16" x14ac:dyDescent="0.25">
      <c r="A46" s="49">
        <f>+A40</f>
        <v>37325</v>
      </c>
      <c r="B46" s="32"/>
      <c r="C46" s="32"/>
      <c r="D46" s="373">
        <f>+D37*'by type_area'!G3</f>
        <v>-6998.56</v>
      </c>
    </row>
    <row r="47" spans="1:16" x14ac:dyDescent="0.25">
      <c r="A47" s="32"/>
      <c r="B47" s="32"/>
      <c r="C47" s="32"/>
      <c r="D47" s="200">
        <f>+D46+D45</f>
        <v>329912.44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34" workbookViewId="0">
      <selection activeCell="C15" sqref="C15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-26847</v>
      </c>
      <c r="C5" s="24">
        <v>-26700</v>
      </c>
      <c r="D5" s="24">
        <f>+C5-B5</f>
        <v>147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-25036</v>
      </c>
      <c r="C6" s="51">
        <v>-25000</v>
      </c>
      <c r="D6" s="24">
        <f t="shared" ref="D6:D36" si="0">+C6-B6</f>
        <v>36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-30383</v>
      </c>
      <c r="C7" s="51">
        <v>-30000</v>
      </c>
      <c r="D7" s="24">
        <f t="shared" si="0"/>
        <v>383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-25426</v>
      </c>
      <c r="C8" s="51">
        <v>-25000</v>
      </c>
      <c r="D8" s="24">
        <f t="shared" si="0"/>
        <v>426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>
        <v>-29173</v>
      </c>
      <c r="C9" s="24">
        <v>-28993</v>
      </c>
      <c r="D9" s="24">
        <f t="shared" si="0"/>
        <v>180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>
        <v>-105729</v>
      </c>
      <c r="C10" s="24">
        <v>-105327</v>
      </c>
      <c r="D10" s="24">
        <f t="shared" si="0"/>
        <v>402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>
        <v>-25466</v>
      </c>
      <c r="C11" s="24">
        <v>-25000</v>
      </c>
      <c r="D11" s="24">
        <f t="shared" si="0"/>
        <v>466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>
        <v>-5471</v>
      </c>
      <c r="C12" s="51">
        <v>-5000</v>
      </c>
      <c r="D12" s="24">
        <f t="shared" si="0"/>
        <v>471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>
        <v>-10250</v>
      </c>
      <c r="C13" s="24">
        <v>-10000</v>
      </c>
      <c r="D13" s="24">
        <f t="shared" si="0"/>
        <v>250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>
        <v>-10341</v>
      </c>
      <c r="C14" s="24">
        <v>-10000</v>
      </c>
      <c r="D14" s="24">
        <f t="shared" si="0"/>
        <v>341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5">
      <c r="A36" s="12"/>
      <c r="B36" s="24">
        <f>SUM(B5:B35)</f>
        <v>-294122</v>
      </c>
      <c r="C36" s="24">
        <f>SUM(C5:C35)</f>
        <v>-291020</v>
      </c>
      <c r="D36" s="24">
        <f t="shared" si="0"/>
        <v>3102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5">
      <c r="A37" s="26"/>
      <c r="B37"/>
      <c r="C37" s="14"/>
      <c r="D37" s="326">
        <f>+summary!G5</f>
        <v>2.4900000000000002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5">
      <c r="B38"/>
      <c r="C38"/>
      <c r="D38" s="138">
        <f>+D37*D36</f>
        <v>7723.9800000000005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5">
      <c r="A39" s="57">
        <v>37315</v>
      </c>
      <c r="B39"/>
      <c r="C39" s="15"/>
      <c r="D39" s="613">
        <v>86201.55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5">
      <c r="A40" s="57">
        <v>37325</v>
      </c>
      <c r="B40"/>
      <c r="C40" s="48"/>
      <c r="D40" s="138">
        <f>+D39+D38</f>
        <v>93925.53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5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5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5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5">
      <c r="A44" s="32" t="s">
        <v>148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5">
      <c r="A45" s="49">
        <f>+A39</f>
        <v>37315</v>
      </c>
      <c r="B45" s="32"/>
      <c r="C45" s="32"/>
      <c r="D45" s="608">
        <v>39515</v>
      </c>
    </row>
    <row r="46" spans="1:65" x14ac:dyDescent="0.25">
      <c r="A46" s="49">
        <f>+A40</f>
        <v>37325</v>
      </c>
      <c r="B46" s="32"/>
      <c r="C46" s="32"/>
      <c r="D46" s="348">
        <f>+D36</f>
        <v>3102</v>
      </c>
    </row>
    <row r="47" spans="1:65" x14ac:dyDescent="0.25">
      <c r="A47" s="32"/>
      <c r="B47" s="32"/>
      <c r="C47" s="32"/>
      <c r="D47" s="14">
        <f>+D46+D45</f>
        <v>42617</v>
      </c>
    </row>
    <row r="48" spans="1:65" x14ac:dyDescent="0.25">
      <c r="A48" s="139"/>
      <c r="B48" s="119"/>
      <c r="C48" s="140"/>
      <c r="D48" s="140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 s="322">
        <f>+D40/D47</f>
        <v>2.203945139263674</v>
      </c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4" workbookViewId="0">
      <selection activeCell="A26" sqref="A26"/>
    </sheetView>
  </sheetViews>
  <sheetFormatPr defaultRowHeight="13.2" x14ac:dyDescent="0.25"/>
  <cols>
    <col min="1" max="1" width="10" bestFit="1" customWidth="1"/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56339</v>
      </c>
      <c r="B5" s="90">
        <f>314276+31240</f>
        <v>345516</v>
      </c>
      <c r="C5" s="90">
        <v>375632</v>
      </c>
      <c r="D5" s="90">
        <f t="shared" ref="D5:D18" si="0">+C5-B5</f>
        <v>30116</v>
      </c>
      <c r="E5" s="275"/>
      <c r="F5" s="273"/>
    </row>
    <row r="6" spans="1:13" x14ac:dyDescent="0.25">
      <c r="A6" s="87">
        <v>78311</v>
      </c>
      <c r="B6" s="90">
        <f>218175+17249</f>
        <v>235424</v>
      </c>
      <c r="C6" s="90">
        <v>253999</v>
      </c>
      <c r="D6" s="90">
        <f t="shared" si="0"/>
        <v>18575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78308</v>
      </c>
      <c r="B7" s="90">
        <f>4834+98</f>
        <v>4932</v>
      </c>
      <c r="C7" s="90"/>
      <c r="D7" s="90">
        <f t="shared" si="0"/>
        <v>-4932</v>
      </c>
      <c r="E7" s="275"/>
      <c r="F7" s="273"/>
      <c r="L7" t="s">
        <v>25</v>
      </c>
      <c r="M7">
        <v>7.6</v>
      </c>
    </row>
    <row r="8" spans="1:13" x14ac:dyDescent="0.25">
      <c r="A8" s="87">
        <v>500238</v>
      </c>
      <c r="B8" s="90">
        <f>305190+29677</f>
        <v>334867</v>
      </c>
      <c r="C8" s="90">
        <v>344882</v>
      </c>
      <c r="D8" s="90">
        <f t="shared" si="0"/>
        <v>10015</v>
      </c>
      <c r="E8" s="454"/>
      <c r="F8" s="273"/>
    </row>
    <row r="9" spans="1:13" x14ac:dyDescent="0.25">
      <c r="A9" s="87">
        <v>500239</v>
      </c>
      <c r="B9" s="90">
        <f>371015+39983</f>
        <v>410998</v>
      </c>
      <c r="C9" s="90">
        <v>371796</v>
      </c>
      <c r="D9" s="90">
        <f t="shared" si="0"/>
        <v>-39202</v>
      </c>
      <c r="E9" s="275"/>
      <c r="F9" s="273"/>
    </row>
    <row r="10" spans="1:13" x14ac:dyDescent="0.25">
      <c r="A10" s="87">
        <v>500293</v>
      </c>
      <c r="B10" s="90">
        <f>154284+14793</f>
        <v>169077</v>
      </c>
      <c r="C10" s="90">
        <v>222915</v>
      </c>
      <c r="D10" s="90">
        <f t="shared" si="0"/>
        <v>53838</v>
      </c>
      <c r="E10" s="275"/>
      <c r="F10" s="273"/>
    </row>
    <row r="11" spans="1:13" x14ac:dyDescent="0.25">
      <c r="A11" s="87">
        <v>500302</v>
      </c>
      <c r="B11" s="90"/>
      <c r="C11" s="305">
        <v>2806</v>
      </c>
      <c r="D11" s="90">
        <f t="shared" si="0"/>
        <v>2806</v>
      </c>
      <c r="E11" s="275"/>
      <c r="F11" s="273"/>
    </row>
    <row r="12" spans="1:13" x14ac:dyDescent="0.25">
      <c r="A12" s="87">
        <v>500303</v>
      </c>
      <c r="B12" s="90"/>
      <c r="C12" s="305">
        <v>14390</v>
      </c>
      <c r="D12" s="90">
        <f t="shared" si="0"/>
        <v>14390</v>
      </c>
      <c r="E12" s="276"/>
      <c r="F12" s="464"/>
      <c r="G12" s="90"/>
    </row>
    <row r="13" spans="1:13" x14ac:dyDescent="0.25">
      <c r="A13" s="91">
        <v>500305</v>
      </c>
      <c r="B13" s="90">
        <f>467865+48458</f>
        <v>516323</v>
      </c>
      <c r="C13" s="90">
        <v>579453</v>
      </c>
      <c r="D13" s="90">
        <f t="shared" si="0"/>
        <v>63130</v>
      </c>
      <c r="E13" s="275"/>
      <c r="F13" s="273"/>
    </row>
    <row r="14" spans="1:13" x14ac:dyDescent="0.25">
      <c r="A14" s="87">
        <v>500307</v>
      </c>
      <c r="B14" s="90">
        <f>27670+2991</f>
        <v>30661</v>
      </c>
      <c r="C14" s="90">
        <v>23408</v>
      </c>
      <c r="D14" s="90">
        <f t="shared" si="0"/>
        <v>-7253</v>
      </c>
      <c r="E14" s="275"/>
      <c r="F14" s="273"/>
    </row>
    <row r="15" spans="1:13" x14ac:dyDescent="0.25">
      <c r="A15" s="87">
        <v>500313</v>
      </c>
      <c r="B15" s="90"/>
      <c r="C15" s="90">
        <v>1111</v>
      </c>
      <c r="D15" s="90">
        <f t="shared" si="0"/>
        <v>1111</v>
      </c>
      <c r="E15" s="275"/>
      <c r="F15" s="273"/>
    </row>
    <row r="16" spans="1:13" x14ac:dyDescent="0.25">
      <c r="A16" s="87">
        <v>500314</v>
      </c>
      <c r="B16" s="90"/>
      <c r="C16" s="90"/>
      <c r="D16" s="90">
        <f t="shared" si="0"/>
        <v>0</v>
      </c>
      <c r="E16" s="275"/>
      <c r="F16" s="273"/>
    </row>
    <row r="17" spans="1:7" x14ac:dyDescent="0.25">
      <c r="A17" s="87">
        <v>500655</v>
      </c>
      <c r="B17" s="90">
        <f>77877+8000</f>
        <v>85877</v>
      </c>
      <c r="C17" s="90"/>
      <c r="D17" s="90">
        <f t="shared" si="0"/>
        <v>-85877</v>
      </c>
      <c r="E17" s="275"/>
      <c r="F17" s="273"/>
      <c r="G17" s="554"/>
    </row>
    <row r="18" spans="1:7" x14ac:dyDescent="0.25">
      <c r="A18" s="87">
        <v>500657</v>
      </c>
      <c r="B18" s="88">
        <f>40448+3700</f>
        <v>44148</v>
      </c>
      <c r="C18" s="88">
        <v>25500</v>
      </c>
      <c r="D18" s="94">
        <f t="shared" si="0"/>
        <v>-18648</v>
      </c>
      <c r="E18" s="275"/>
      <c r="F18" s="464"/>
    </row>
    <row r="19" spans="1:7" x14ac:dyDescent="0.25">
      <c r="A19" s="87"/>
      <c r="B19" s="88"/>
      <c r="C19" s="88"/>
      <c r="D19" s="88">
        <f>SUM(D5:D18)</f>
        <v>38069</v>
      </c>
      <c r="E19" s="277"/>
      <c r="F19" s="464"/>
    </row>
    <row r="20" spans="1:7" x14ac:dyDescent="0.25">
      <c r="A20" s="87" t="s">
        <v>81</v>
      </c>
      <c r="B20" s="88"/>
      <c r="C20" s="88"/>
      <c r="D20" s="95">
        <f>+summary!G5</f>
        <v>2.4900000000000002</v>
      </c>
      <c r="E20" s="207"/>
      <c r="F20" s="464"/>
    </row>
    <row r="21" spans="1:7" x14ac:dyDescent="0.25">
      <c r="A21" s="87"/>
      <c r="B21" s="88"/>
      <c r="C21" s="88"/>
      <c r="D21" s="96">
        <f>+D20*D19</f>
        <v>94791.810000000012</v>
      </c>
      <c r="E21" s="207"/>
      <c r="F21" s="201"/>
    </row>
    <row r="22" spans="1:7" x14ac:dyDescent="0.25">
      <c r="A22" s="87"/>
      <c r="B22" s="88"/>
      <c r="C22" s="88"/>
      <c r="D22" s="96"/>
      <c r="E22" s="207"/>
      <c r="F22" s="465"/>
    </row>
    <row r="23" spans="1:7" x14ac:dyDescent="0.25">
      <c r="A23" s="99">
        <v>37315</v>
      </c>
      <c r="B23" s="88"/>
      <c r="C23" s="88"/>
      <c r="D23" s="619">
        <v>38489.300000000003</v>
      </c>
      <c r="E23" s="207"/>
      <c r="F23" s="465"/>
    </row>
    <row r="24" spans="1:7" x14ac:dyDescent="0.25">
      <c r="A24" s="87"/>
      <c r="B24" s="88"/>
      <c r="C24" s="88"/>
      <c r="D24" s="308"/>
      <c r="E24" s="207"/>
      <c r="F24" s="465"/>
    </row>
    <row r="25" spans="1:7" ht="13.8" thickBot="1" x14ac:dyDescent="0.3">
      <c r="A25" s="99">
        <v>37326</v>
      </c>
      <c r="B25" s="88"/>
      <c r="C25" s="88"/>
      <c r="D25" s="318">
        <f>+D23+D21</f>
        <v>133281.11000000002</v>
      </c>
      <c r="E25" s="278"/>
    </row>
    <row r="26" spans="1:7" ht="13.8" thickTop="1" x14ac:dyDescent="0.25"/>
    <row r="28" spans="1:7" x14ac:dyDescent="0.25">
      <c r="A28" s="32" t="s">
        <v>148</v>
      </c>
      <c r="B28" s="32"/>
      <c r="C28" s="32"/>
      <c r="D28" s="32"/>
      <c r="E28" s="343"/>
    </row>
    <row r="29" spans="1:7" x14ac:dyDescent="0.25">
      <c r="A29" s="49">
        <f>+A23</f>
        <v>37315</v>
      </c>
      <c r="B29" s="32"/>
      <c r="C29" s="32"/>
      <c r="D29" s="561">
        <v>31234</v>
      </c>
    </row>
    <row r="30" spans="1:7" x14ac:dyDescent="0.25">
      <c r="A30" s="49">
        <f>+A25</f>
        <v>37326</v>
      </c>
      <c r="B30" s="32"/>
      <c r="C30" s="32"/>
      <c r="D30" s="348">
        <f>+D19</f>
        <v>38069</v>
      </c>
    </row>
    <row r="31" spans="1:7" x14ac:dyDescent="0.25">
      <c r="A31" s="32"/>
      <c r="B31" s="32"/>
      <c r="C31" s="32"/>
      <c r="D31" s="14">
        <f>+D30+D29</f>
        <v>69303</v>
      </c>
    </row>
    <row r="32" spans="1:7" x14ac:dyDescent="0.25">
      <c r="A32" s="139"/>
      <c r="B32" s="119"/>
      <c r="C32" s="140"/>
      <c r="D32" s="140"/>
    </row>
    <row r="33" spans="1:7" x14ac:dyDescent="0.25">
      <c r="B33" s="69"/>
      <c r="C33" s="69"/>
      <c r="D33" s="201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201">
        <f>+D25/D31</f>
        <v>1.923165086648486</v>
      </c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A41" sqref="A41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.5546875" style="32" bestFit="1" customWidth="1"/>
    <col min="4" max="4" width="8.88671875" style="32" customWidth="1"/>
    <col min="5" max="6" width="12.5546875" style="32" bestFit="1" customWidth="1"/>
    <col min="7" max="7" width="9.109375" style="2"/>
    <col min="8" max="8" width="6.109375" style="32" bestFit="1" customWidth="1"/>
    <col min="9" max="9" width="9" style="32" bestFit="1" customWidth="1"/>
    <col min="10" max="10" width="9.109375" style="32"/>
    <col min="11" max="11" width="9" style="32" bestFit="1" customWidth="1"/>
    <col min="12" max="12" width="5.44140625" style="32" bestFit="1" customWidth="1"/>
    <col min="13" max="13" width="10.109375" style="32" bestFit="1" customWidth="1"/>
    <col min="14" max="15" width="11.44140625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4"/>
      <c r="J2" s="2"/>
      <c r="K2" s="2"/>
      <c r="L2" s="104"/>
      <c r="M2" s="143" t="s">
        <v>173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4" t="s">
        <v>39</v>
      </c>
      <c r="I3" s="4" t="s">
        <v>19</v>
      </c>
      <c r="J3" s="4" t="s">
        <v>20</v>
      </c>
      <c r="K3" s="402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26410</v>
      </c>
      <c r="C4" s="11">
        <v>25458</v>
      </c>
      <c r="D4" s="11">
        <v>24462</v>
      </c>
      <c r="E4" s="11">
        <v>29000</v>
      </c>
      <c r="F4" s="25">
        <f>+E4+C4-D4-B4</f>
        <v>3586</v>
      </c>
      <c r="G4" s="25"/>
      <c r="H4" s="404"/>
      <c r="I4" s="14"/>
      <c r="J4" s="14"/>
      <c r="K4" s="14">
        <f t="shared" ref="K4:K9" si="0">+J4-I4</f>
        <v>0</v>
      </c>
      <c r="L4" s="357"/>
      <c r="M4" s="75">
        <f t="shared" ref="M4:M9" si="1">+L4*K4</f>
        <v>0</v>
      </c>
    </row>
    <row r="5" spans="1:14" x14ac:dyDescent="0.2">
      <c r="A5" s="41">
        <v>2</v>
      </c>
      <c r="B5" s="11">
        <v>25541</v>
      </c>
      <c r="C5" s="11">
        <v>22355</v>
      </c>
      <c r="D5" s="11">
        <v>22978</v>
      </c>
      <c r="E5" s="11">
        <v>27000</v>
      </c>
      <c r="F5" s="25">
        <f t="shared" ref="F5:F34" si="2">+E5+C5-D5-B5</f>
        <v>836</v>
      </c>
      <c r="G5" s="25"/>
      <c r="H5" s="404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7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28508</v>
      </c>
      <c r="C6" s="11">
        <v>22355</v>
      </c>
      <c r="D6" s="11">
        <v>24466</v>
      </c>
      <c r="E6" s="11">
        <v>27000</v>
      </c>
      <c r="F6" s="25">
        <f t="shared" si="2"/>
        <v>-3619</v>
      </c>
      <c r="G6" s="25"/>
      <c r="H6" s="404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7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24090</v>
      </c>
      <c r="C7" s="11">
        <v>22355</v>
      </c>
      <c r="D7" s="11">
        <v>25907</v>
      </c>
      <c r="E7" s="11">
        <v>26998</v>
      </c>
      <c r="F7" s="25">
        <f t="shared" si="2"/>
        <v>-644</v>
      </c>
      <c r="G7" s="25"/>
      <c r="H7" s="404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7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28040</v>
      </c>
      <c r="C8" s="11">
        <v>24754</v>
      </c>
      <c r="D8" s="11">
        <v>27188</v>
      </c>
      <c r="E8" s="11">
        <v>22620</v>
      </c>
      <c r="F8" s="25">
        <f t="shared" si="2"/>
        <v>-7854</v>
      </c>
      <c r="G8" s="25"/>
      <c r="H8" s="404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7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26434</v>
      </c>
      <c r="C9" s="11">
        <v>24755</v>
      </c>
      <c r="D9" s="11">
        <v>27891</v>
      </c>
      <c r="E9" s="11">
        <v>22620</v>
      </c>
      <c r="F9" s="25">
        <f t="shared" si="2"/>
        <v>-6950</v>
      </c>
      <c r="G9" s="25"/>
      <c r="H9" s="404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7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31240</v>
      </c>
      <c r="C10" s="11">
        <v>26838</v>
      </c>
      <c r="D10" s="129">
        <v>27614</v>
      </c>
      <c r="E10" s="11">
        <v>25121</v>
      </c>
      <c r="F10" s="25">
        <f t="shared" si="2"/>
        <v>-6895</v>
      </c>
      <c r="G10" s="25"/>
      <c r="H10" s="404"/>
      <c r="I10" s="14"/>
      <c r="J10" s="14"/>
      <c r="K10" s="14"/>
      <c r="L10" s="357"/>
      <c r="M10" s="15"/>
      <c r="N10" s="15">
        <f>SUM(N5:N9)</f>
        <v>489002.35</v>
      </c>
    </row>
    <row r="11" spans="1:14" x14ac:dyDescent="0.2">
      <c r="A11" s="41">
        <v>8</v>
      </c>
      <c r="B11" s="11">
        <v>29266</v>
      </c>
      <c r="C11" s="11">
        <v>24696</v>
      </c>
      <c r="D11" s="11">
        <v>26038</v>
      </c>
      <c r="E11" s="11">
        <v>26690</v>
      </c>
      <c r="F11" s="25">
        <f>+E11+C11-D11-B11</f>
        <v>-3918</v>
      </c>
      <c r="G11" s="25"/>
      <c r="H11" s="404"/>
      <c r="I11" s="14"/>
      <c r="J11" s="14"/>
      <c r="K11" s="15"/>
      <c r="L11" s="357"/>
      <c r="M11" s="15"/>
      <c r="N11" s="15">
        <f>SUM(M5:M9)</f>
        <v>489002.35000000003</v>
      </c>
    </row>
    <row r="12" spans="1:14" x14ac:dyDescent="0.2">
      <c r="A12" s="41">
        <v>9</v>
      </c>
      <c r="B12" s="11">
        <v>27433</v>
      </c>
      <c r="C12" s="11">
        <v>24455</v>
      </c>
      <c r="D12" s="11">
        <v>24746</v>
      </c>
      <c r="E12" s="11">
        <v>26414</v>
      </c>
      <c r="F12" s="25">
        <f>+E12+C12-D12-B12</f>
        <v>-1310</v>
      </c>
      <c r="G12" s="25"/>
      <c r="H12" s="404"/>
      <c r="I12" s="24"/>
      <c r="J12" s="24"/>
      <c r="K12" s="110"/>
      <c r="L12" s="406"/>
      <c r="M12" s="110"/>
    </row>
    <row r="13" spans="1:14" x14ac:dyDescent="0.2">
      <c r="A13" s="41">
        <v>10</v>
      </c>
      <c r="B13" s="129">
        <v>28683</v>
      </c>
      <c r="C13" s="11">
        <v>24689</v>
      </c>
      <c r="D13" s="129">
        <v>25767</v>
      </c>
      <c r="E13" s="11">
        <v>26686</v>
      </c>
      <c r="F13" s="25">
        <f t="shared" si="2"/>
        <v>-3075</v>
      </c>
      <c r="G13" s="25"/>
      <c r="I13" s="24"/>
      <c r="J13" s="24"/>
      <c r="K13" s="24">
        <f>SUM(K4:K12)</f>
        <v>135930</v>
      </c>
      <c r="L13" s="406"/>
      <c r="M13" s="110">
        <f>SUM(M4:M12)</f>
        <v>489002.35000000003</v>
      </c>
    </row>
    <row r="14" spans="1:14" x14ac:dyDescent="0.2">
      <c r="A14" s="41">
        <v>11</v>
      </c>
      <c r="B14" s="11">
        <v>27118</v>
      </c>
      <c r="C14" s="11">
        <v>24779</v>
      </c>
      <c r="D14" s="11">
        <v>27800</v>
      </c>
      <c r="E14" s="11">
        <v>26791</v>
      </c>
      <c r="F14" s="25">
        <f t="shared" si="2"/>
        <v>-3348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302763</v>
      </c>
      <c r="C35" s="11">
        <f>SUM(C4:C34)</f>
        <v>267489</v>
      </c>
      <c r="D35" s="11">
        <f>SUM(D4:D34)</f>
        <v>284857</v>
      </c>
      <c r="E35" s="11">
        <f>SUM(E4:E34)</f>
        <v>286940</v>
      </c>
      <c r="F35" s="11">
        <f>+E35-D35+C35-B35</f>
        <v>-33191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87">
        <f>+summary!G4</f>
        <v>2.48</v>
      </c>
    </row>
    <row r="38" spans="1:7" x14ac:dyDescent="0.2">
      <c r="C38" s="48"/>
      <c r="D38" s="47"/>
      <c r="E38" s="48"/>
      <c r="F38" s="46">
        <f>+F37*F35</f>
        <v>-82313.679999999993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37315</v>
      </c>
      <c r="C40" s="459"/>
      <c r="D40" s="111"/>
      <c r="E40" s="459"/>
      <c r="F40" s="600">
        <v>494173.81</v>
      </c>
      <c r="G40" s="25"/>
    </row>
    <row r="41" spans="1:7" x14ac:dyDescent="0.2">
      <c r="A41" s="57">
        <v>37326</v>
      </c>
      <c r="C41" s="106"/>
      <c r="D41" s="106"/>
      <c r="E41" s="106"/>
      <c r="F41" s="106">
        <f>+F38+F40</f>
        <v>411860.13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148</v>
      </c>
      <c r="E45" s="11"/>
      <c r="F45" s="11"/>
      <c r="G45" s="25"/>
    </row>
    <row r="46" spans="1:7" x14ac:dyDescent="0.2">
      <c r="A46" s="49">
        <f>+A40</f>
        <v>37315</v>
      </c>
      <c r="D46" s="601">
        <v>33900</v>
      </c>
      <c r="E46" s="11"/>
      <c r="F46" s="11"/>
      <c r="G46" s="25"/>
    </row>
    <row r="47" spans="1:7" x14ac:dyDescent="0.2">
      <c r="A47" s="49">
        <f>+A41</f>
        <v>37326</v>
      </c>
      <c r="D47" s="348">
        <f>+F35</f>
        <v>-33191</v>
      </c>
      <c r="E47" s="11"/>
      <c r="F47" s="11"/>
      <c r="G47" s="25"/>
    </row>
    <row r="48" spans="1:7" x14ac:dyDescent="0.2">
      <c r="D48" s="14">
        <f>+D47+D46</f>
        <v>709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E38" sqref="E38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5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5">
      <c r="A5" s="10">
        <v>1</v>
      </c>
      <c r="B5" s="11">
        <v>154063</v>
      </c>
      <c r="C5" s="11">
        <v>164544</v>
      </c>
      <c r="D5" s="11"/>
      <c r="E5" s="11">
        <v>-3485</v>
      </c>
      <c r="F5" s="11">
        <f>+C5+E5-B5-D5</f>
        <v>6996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160904</v>
      </c>
      <c r="C6" s="11">
        <v>166793</v>
      </c>
      <c r="D6" s="11"/>
      <c r="E6" s="11">
        <v>-6970</v>
      </c>
      <c r="F6" s="11">
        <f t="shared" ref="F6:F35" si="2">+C6+E6-B6-D6</f>
        <v>-1081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157686</v>
      </c>
      <c r="C7" s="11">
        <v>163447</v>
      </c>
      <c r="D7" s="11"/>
      <c r="E7" s="11">
        <v>-6970</v>
      </c>
      <c r="F7" s="11">
        <f t="shared" si="2"/>
        <v>-1209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>
        <v>171436</v>
      </c>
      <c r="C8" s="11">
        <v>177056</v>
      </c>
      <c r="D8" s="11"/>
      <c r="E8" s="11">
        <v>-6970</v>
      </c>
      <c r="F8" s="11">
        <f t="shared" si="2"/>
        <v>-1350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>
        <v>164393</v>
      </c>
      <c r="C9" s="11">
        <v>173525</v>
      </c>
      <c r="D9" s="11"/>
      <c r="E9" s="11">
        <v>-6970</v>
      </c>
      <c r="F9" s="11">
        <f t="shared" si="2"/>
        <v>2162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>
        <v>194251</v>
      </c>
      <c r="C10" s="11">
        <v>204098</v>
      </c>
      <c r="D10" s="11"/>
      <c r="E10" s="11">
        <v>-11515</v>
      </c>
      <c r="F10" s="11">
        <f t="shared" si="2"/>
        <v>-1668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>
        <v>176742</v>
      </c>
      <c r="C11" s="11">
        <v>186936</v>
      </c>
      <c r="D11" s="11"/>
      <c r="E11" s="11">
        <v>-9247</v>
      </c>
      <c r="F11" s="11">
        <f t="shared" si="2"/>
        <v>947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29">
        <v>180290</v>
      </c>
      <c r="C12" s="11">
        <v>187288</v>
      </c>
      <c r="D12" s="11"/>
      <c r="E12" s="11">
        <v>-8170</v>
      </c>
      <c r="F12" s="11">
        <f t="shared" si="2"/>
        <v>-1172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>
        <v>174507</v>
      </c>
      <c r="C13" s="11">
        <v>182225</v>
      </c>
      <c r="D13" s="11"/>
      <c r="E13" s="11">
        <v>-6970</v>
      </c>
      <c r="F13" s="11">
        <f t="shared" si="2"/>
        <v>748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>
        <v>177777</v>
      </c>
      <c r="C14" s="11">
        <v>182890</v>
      </c>
      <c r="D14" s="11"/>
      <c r="E14" s="11">
        <v>-6970</v>
      </c>
      <c r="F14" s="11">
        <f t="shared" si="2"/>
        <v>-1857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1712049</v>
      </c>
      <c r="C36" s="11">
        <f>SUM(C5:C35)</f>
        <v>1788802</v>
      </c>
      <c r="D36" s="11">
        <f>SUM(D5:D35)</f>
        <v>0</v>
      </c>
      <c r="E36" s="11">
        <f>SUM(E5:E35)</f>
        <v>-74237</v>
      </c>
      <c r="F36" s="11">
        <f>SUM(F5:F35)</f>
        <v>2516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37315</v>
      </c>
      <c r="F39" s="596">
        <f>-35191+19052</f>
        <v>-16139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37325</v>
      </c>
      <c r="F41" s="332">
        <f>+F39+F36</f>
        <v>-13623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32" t="s">
        <v>149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49">
        <f>+B39</f>
        <v>37315</v>
      </c>
      <c r="C47" s="32"/>
      <c r="D47" s="32"/>
      <c r="E47" s="566">
        <v>-493766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49">
        <f>+B41</f>
        <v>37325</v>
      </c>
      <c r="C48" s="32"/>
      <c r="D48" s="32"/>
      <c r="E48" s="373">
        <f>+F36*'by type_area'!G3</f>
        <v>6239.68</v>
      </c>
      <c r="F48" s="11"/>
      <c r="M48" s="17"/>
      <c r="S48" s="19"/>
    </row>
    <row r="49" spans="1:13" x14ac:dyDescent="0.25">
      <c r="A49" s="10"/>
      <c r="B49" s="32"/>
      <c r="C49" s="32"/>
      <c r="D49" s="32"/>
      <c r="E49" s="200">
        <f>+E48+E47</f>
        <v>-487526.32</v>
      </c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8" workbookViewId="0">
      <selection activeCell="B41" sqref="B41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71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94079</v>
      </c>
      <c r="C8" s="11">
        <v>94300</v>
      </c>
      <c r="D8" s="11">
        <f>+C8-B8</f>
        <v>221</v>
      </c>
      <c r="E8" s="10"/>
      <c r="F8" s="11"/>
      <c r="G8" s="11"/>
      <c r="H8" s="11"/>
    </row>
    <row r="9" spans="1:8" x14ac:dyDescent="0.25">
      <c r="A9" s="10">
        <v>2</v>
      </c>
      <c r="B9" s="11">
        <v>93999</v>
      </c>
      <c r="C9" s="11">
        <v>93800</v>
      </c>
      <c r="D9" s="11">
        <f t="shared" ref="D9:D38" si="0">+C9-B9</f>
        <v>-199</v>
      </c>
      <c r="E9" s="10"/>
      <c r="F9" s="11"/>
      <c r="G9" s="11"/>
      <c r="H9" s="11"/>
    </row>
    <row r="10" spans="1:8" x14ac:dyDescent="0.25">
      <c r="A10" s="10">
        <v>3</v>
      </c>
      <c r="B10" s="11">
        <v>94001</v>
      </c>
      <c r="C10" s="11">
        <v>93800</v>
      </c>
      <c r="D10" s="11">
        <f t="shared" si="0"/>
        <v>-201</v>
      </c>
      <c r="E10" s="10"/>
      <c r="F10" s="11"/>
      <c r="G10" s="11"/>
      <c r="H10" s="11"/>
    </row>
    <row r="11" spans="1:8" x14ac:dyDescent="0.25">
      <c r="A11" s="10">
        <v>4</v>
      </c>
      <c r="B11" s="11">
        <v>78477</v>
      </c>
      <c r="C11" s="11">
        <v>78052</v>
      </c>
      <c r="D11" s="11">
        <f t="shared" si="0"/>
        <v>-425</v>
      </c>
      <c r="E11" s="10"/>
      <c r="F11" s="11"/>
      <c r="G11" s="11"/>
      <c r="H11" s="11"/>
    </row>
    <row r="12" spans="1:8" x14ac:dyDescent="0.25">
      <c r="A12" s="10">
        <v>5</v>
      </c>
      <c r="B12" s="11">
        <v>87448</v>
      </c>
      <c r="C12" s="11">
        <v>87521</v>
      </c>
      <c r="D12" s="11">
        <f t="shared" si="0"/>
        <v>73</v>
      </c>
      <c r="E12" s="10"/>
      <c r="F12" s="11"/>
      <c r="G12" s="11"/>
      <c r="H12" s="11"/>
    </row>
    <row r="13" spans="1:8" x14ac:dyDescent="0.25">
      <c r="A13" s="10">
        <v>6</v>
      </c>
      <c r="B13" s="11">
        <v>79309</v>
      </c>
      <c r="C13" s="11">
        <v>78221</v>
      </c>
      <c r="D13" s="11">
        <f t="shared" si="0"/>
        <v>-1088</v>
      </c>
      <c r="E13" s="10"/>
      <c r="F13" s="11"/>
      <c r="G13" s="11"/>
      <c r="H13" s="11"/>
    </row>
    <row r="14" spans="1:8" x14ac:dyDescent="0.25">
      <c r="A14" s="10">
        <v>7</v>
      </c>
      <c r="B14" s="11">
        <v>78143</v>
      </c>
      <c r="C14" s="11">
        <v>78221</v>
      </c>
      <c r="D14" s="11">
        <f t="shared" si="0"/>
        <v>78</v>
      </c>
      <c r="E14" s="10"/>
      <c r="F14" s="11"/>
      <c r="G14" s="11"/>
      <c r="H14" s="11"/>
    </row>
    <row r="15" spans="1:8" x14ac:dyDescent="0.25">
      <c r="A15" s="10">
        <v>8</v>
      </c>
      <c r="B15" s="11">
        <v>78416</v>
      </c>
      <c r="C15" s="11">
        <v>78219</v>
      </c>
      <c r="D15" s="11">
        <f t="shared" si="0"/>
        <v>-197</v>
      </c>
      <c r="E15" s="10"/>
      <c r="F15" s="11"/>
      <c r="G15" s="11"/>
      <c r="H15" s="11"/>
    </row>
    <row r="16" spans="1:8" x14ac:dyDescent="0.25">
      <c r="A16" s="10">
        <v>9</v>
      </c>
      <c r="B16" s="11">
        <v>78187</v>
      </c>
      <c r="C16" s="11">
        <v>78221</v>
      </c>
      <c r="D16" s="11">
        <f t="shared" si="0"/>
        <v>34</v>
      </c>
      <c r="E16" s="10"/>
      <c r="F16" s="11"/>
      <c r="G16" s="11"/>
      <c r="H16" s="11"/>
    </row>
    <row r="17" spans="1:8" x14ac:dyDescent="0.25">
      <c r="A17" s="10">
        <v>10</v>
      </c>
      <c r="B17" s="11">
        <v>78995</v>
      </c>
      <c r="C17" s="11">
        <v>78221</v>
      </c>
      <c r="D17" s="11">
        <f t="shared" si="0"/>
        <v>-774</v>
      </c>
      <c r="E17" s="10"/>
      <c r="F17" s="11"/>
      <c r="G17" s="11"/>
      <c r="H17" s="11"/>
    </row>
    <row r="18" spans="1:8" x14ac:dyDescent="0.25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5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5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5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5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5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5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5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5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5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5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5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841054</v>
      </c>
      <c r="C39" s="11">
        <f>SUM(C8:C38)</f>
        <v>838576</v>
      </c>
      <c r="D39" s="11">
        <f>SUM(D8:D38)</f>
        <v>-2478</v>
      </c>
      <c r="E39" s="10"/>
      <c r="F39" s="11"/>
      <c r="G39" s="11"/>
      <c r="H39" s="11"/>
    </row>
    <row r="40" spans="1:8" x14ac:dyDescent="0.25">
      <c r="A40" s="26"/>
      <c r="D40" s="75">
        <f>+summary!G4</f>
        <v>2.48</v>
      </c>
      <c r="E40" s="26"/>
      <c r="H40" s="75"/>
    </row>
    <row r="41" spans="1:8" x14ac:dyDescent="0.25">
      <c r="D41" s="195">
        <f>+D40*D39</f>
        <v>-6145.44</v>
      </c>
      <c r="F41" s="247"/>
      <c r="H41" s="195"/>
    </row>
    <row r="42" spans="1:8" x14ac:dyDescent="0.25">
      <c r="A42" s="57">
        <v>37315</v>
      </c>
      <c r="D42" s="622">
        <v>21511.71</v>
      </c>
      <c r="E42" s="57"/>
      <c r="H42" s="195"/>
    </row>
    <row r="43" spans="1:8" x14ac:dyDescent="0.25">
      <c r="A43" s="57">
        <v>37325</v>
      </c>
      <c r="D43" s="196">
        <f>+D42+D41</f>
        <v>15366.27</v>
      </c>
      <c r="E43" s="57"/>
      <c r="H43" s="196"/>
    </row>
    <row r="44" spans="1:8" x14ac:dyDescent="0.25">
      <c r="D44" s="197"/>
      <c r="E44" s="15"/>
      <c r="F44" s="138"/>
    </row>
    <row r="45" spans="1:8" x14ac:dyDescent="0.25">
      <c r="D45" s="32"/>
    </row>
    <row r="47" spans="1:8" x14ac:dyDescent="0.25">
      <c r="A47" s="32" t="s">
        <v>148</v>
      </c>
      <c r="B47" s="32"/>
      <c r="C47" s="32"/>
      <c r="D47" s="32"/>
    </row>
    <row r="48" spans="1:8" x14ac:dyDescent="0.25">
      <c r="A48" s="49">
        <f>+A42</f>
        <v>37315</v>
      </c>
      <c r="B48" s="32"/>
      <c r="C48" s="32"/>
      <c r="D48" s="608">
        <v>-45555</v>
      </c>
    </row>
    <row r="49" spans="1:4" x14ac:dyDescent="0.25">
      <c r="A49" s="49">
        <f>+A43</f>
        <v>37325</v>
      </c>
      <c r="B49" s="32"/>
      <c r="C49" s="32"/>
      <c r="D49" s="348">
        <f>+D39</f>
        <v>-2478</v>
      </c>
    </row>
    <row r="50" spans="1:4" x14ac:dyDescent="0.25">
      <c r="A50" s="32"/>
      <c r="B50" s="32"/>
      <c r="C50" s="32"/>
      <c r="D50" s="14">
        <f>+D49+D48</f>
        <v>-48033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3"/>
  <sheetViews>
    <sheetView workbookViewId="0">
      <selection activeCell="G43" sqref="G43"/>
    </sheetView>
  </sheetViews>
  <sheetFormatPr defaultRowHeight="13.2" x14ac:dyDescent="0.25"/>
  <cols>
    <col min="1" max="1" width="11" style="32" customWidth="1"/>
    <col min="2" max="2" width="12" style="15" bestFit="1" customWidth="1"/>
    <col min="3" max="3" width="12" style="32" bestFit="1" customWidth="1"/>
    <col min="4" max="4" width="10.109375" style="32" bestFit="1" customWidth="1"/>
    <col min="5" max="5" width="11.6640625" style="32" bestFit="1" customWidth="1"/>
    <col min="6" max="7" width="7.6640625" bestFit="1" customWidth="1"/>
    <col min="8" max="8" width="10" bestFit="1" customWidth="1"/>
    <col min="9" max="9" width="11.33203125" bestFit="1" customWidth="1"/>
    <col min="10" max="10" width="14.5546875" style="259" customWidth="1"/>
  </cols>
  <sheetData>
    <row r="2" spans="1:14" x14ac:dyDescent="0.25">
      <c r="A2" s="2" t="s">
        <v>93</v>
      </c>
      <c r="G2" s="32"/>
      <c r="H2" s="15"/>
      <c r="I2" s="32"/>
      <c r="J2" s="15"/>
    </row>
    <row r="3" spans="1:14" x14ac:dyDescent="0.25">
      <c r="A3" s="2" t="s">
        <v>72</v>
      </c>
      <c r="G3" s="32"/>
      <c r="H3" s="15"/>
      <c r="I3" s="32"/>
      <c r="J3" s="15"/>
    </row>
    <row r="4" spans="1:14" x14ac:dyDescent="0.25">
      <c r="G4" s="32"/>
      <c r="H4" s="15"/>
      <c r="I4" s="32"/>
      <c r="J4" s="15"/>
    </row>
    <row r="5" spans="1:14" x14ac:dyDescent="0.25">
      <c r="A5" s="258">
        <v>37315</v>
      </c>
      <c r="C5" s="609">
        <v>1499974.68</v>
      </c>
      <c r="E5" s="15"/>
      <c r="G5" s="32"/>
      <c r="H5" s="15"/>
      <c r="I5" s="32"/>
      <c r="J5" s="15"/>
    </row>
    <row r="6" spans="1:14" x14ac:dyDescent="0.25">
      <c r="G6" s="32"/>
      <c r="H6" s="15"/>
      <c r="I6" s="3" t="s">
        <v>248</v>
      </c>
      <c r="J6" s="15"/>
    </row>
    <row r="7" spans="1:14" x14ac:dyDescent="0.25">
      <c r="A7" s="57">
        <v>37323</v>
      </c>
      <c r="I7" s="3" t="s">
        <v>254</v>
      </c>
      <c r="J7" s="15"/>
    </row>
    <row r="8" spans="1:14" x14ac:dyDescent="0.25">
      <c r="A8" s="248">
        <v>50895</v>
      </c>
      <c r="B8" s="339">
        <f>1596-1610</f>
        <v>-14</v>
      </c>
      <c r="J8" s="15"/>
    </row>
    <row r="9" spans="1:14" x14ac:dyDescent="0.25">
      <c r="A9" s="248">
        <v>60874</v>
      </c>
      <c r="B9" s="339">
        <v>831</v>
      </c>
      <c r="J9" s="15"/>
    </row>
    <row r="10" spans="1:14" x14ac:dyDescent="0.25">
      <c r="A10" s="248">
        <v>78169</v>
      </c>
      <c r="B10" s="339">
        <f>205492-158037-32519</f>
        <v>14936</v>
      </c>
      <c r="I10" s="87" t="s">
        <v>249</v>
      </c>
      <c r="J10" s="479" t="s">
        <v>27</v>
      </c>
      <c r="K10" s="87" t="s">
        <v>250</v>
      </c>
      <c r="L10" s="87"/>
      <c r="M10" s="87"/>
      <c r="N10" s="87"/>
    </row>
    <row r="11" spans="1:14" ht="20.100000000000001" customHeight="1" x14ac:dyDescent="0.25">
      <c r="A11" s="32">
        <v>500235</v>
      </c>
      <c r="B11" s="14"/>
      <c r="H11" s="64"/>
      <c r="I11" s="87">
        <v>24361</v>
      </c>
      <c r="J11" s="479">
        <f>+C40</f>
        <v>863723.35</v>
      </c>
      <c r="K11" s="87" t="s">
        <v>251</v>
      </c>
      <c r="L11" s="87"/>
      <c r="M11" s="87"/>
      <c r="N11" s="87"/>
    </row>
    <row r="12" spans="1:14" ht="20.100000000000001" customHeight="1" x14ac:dyDescent="0.25">
      <c r="A12" s="248">
        <v>500248</v>
      </c>
      <c r="B12" s="340"/>
      <c r="I12" s="87">
        <v>24693</v>
      </c>
      <c r="J12" s="444">
        <v>275313.71999999997</v>
      </c>
      <c r="K12" s="87" t="s">
        <v>252</v>
      </c>
      <c r="L12" s="87"/>
      <c r="M12" s="87"/>
      <c r="N12" s="87"/>
    </row>
    <row r="13" spans="1:14" ht="20.100000000000001" customHeight="1" x14ac:dyDescent="0.25">
      <c r="A13" s="248">
        <v>500251</v>
      </c>
      <c r="B13" s="316">
        <f>3352-3716</f>
        <v>-364</v>
      </c>
      <c r="I13" s="87">
        <v>21665</v>
      </c>
      <c r="J13" s="444">
        <v>73449.16</v>
      </c>
      <c r="K13" s="87" t="s">
        <v>253</v>
      </c>
      <c r="L13" s="87"/>
      <c r="M13" s="87"/>
      <c r="N13" s="87"/>
    </row>
    <row r="14" spans="1:14" ht="20.100000000000001" customHeight="1" x14ac:dyDescent="0.25">
      <c r="A14" s="248">
        <v>500254</v>
      </c>
      <c r="B14" s="316">
        <f>958-223</f>
        <v>735</v>
      </c>
      <c r="I14" s="87">
        <v>22664</v>
      </c>
      <c r="J14" s="447">
        <v>23612.35</v>
      </c>
      <c r="K14" s="87" t="s">
        <v>255</v>
      </c>
      <c r="L14" s="87"/>
      <c r="M14" s="87"/>
      <c r="N14" s="87"/>
    </row>
    <row r="15" spans="1:14" ht="20.100000000000001" customHeight="1" x14ac:dyDescent="0.25">
      <c r="A15" s="32">
        <v>500255</v>
      </c>
      <c r="B15" s="316">
        <f>3990-3927</f>
        <v>63</v>
      </c>
      <c r="I15" s="87"/>
      <c r="J15" s="444">
        <f>SUM(J11:J14)</f>
        <v>1236098.5799999998</v>
      </c>
      <c r="K15" s="87"/>
      <c r="L15" s="87"/>
      <c r="M15" s="87"/>
      <c r="N15" s="87"/>
    </row>
    <row r="16" spans="1:14" ht="20.100000000000001" customHeight="1" x14ac:dyDescent="0.25">
      <c r="A16" s="32">
        <v>500262</v>
      </c>
      <c r="B16" s="316">
        <v>-1</v>
      </c>
      <c r="I16" s="87"/>
      <c r="J16" s="444"/>
      <c r="K16" s="87"/>
      <c r="L16" s="87"/>
      <c r="M16" s="87"/>
      <c r="N16" s="87"/>
    </row>
    <row r="17" spans="1:14" x14ac:dyDescent="0.25">
      <c r="A17" s="280">
        <v>500267</v>
      </c>
      <c r="B17" s="594">
        <f>286712-276510</f>
        <v>10202</v>
      </c>
      <c r="I17" s="87"/>
      <c r="J17" s="444"/>
      <c r="K17" s="87"/>
      <c r="L17" s="87"/>
      <c r="M17" s="87"/>
      <c r="N17" s="87"/>
    </row>
    <row r="18" spans="1:14" x14ac:dyDescent="0.25">
      <c r="B18" s="14">
        <f>SUM(B8:B17)</f>
        <v>26388</v>
      </c>
      <c r="I18" s="87"/>
      <c r="J18" s="444"/>
      <c r="K18" s="87"/>
      <c r="L18" s="87"/>
      <c r="M18" s="87"/>
      <c r="N18" s="87"/>
    </row>
    <row r="19" spans="1:14" x14ac:dyDescent="0.25">
      <c r="B19" s="15">
        <f>+summary!G5</f>
        <v>2.4900000000000002</v>
      </c>
      <c r="C19" s="199">
        <f>+B19*B18</f>
        <v>65706.12000000001</v>
      </c>
      <c r="G19" s="32"/>
      <c r="H19" s="378"/>
      <c r="I19" s="327"/>
      <c r="J19" s="444"/>
      <c r="K19" s="87"/>
      <c r="L19" s="87"/>
      <c r="M19" s="87"/>
      <c r="N19" s="87"/>
    </row>
    <row r="20" spans="1:14" x14ac:dyDescent="0.25">
      <c r="C20" s="321">
        <f>+C19+C5</f>
        <v>1565680.8</v>
      </c>
      <c r="E20" s="15"/>
      <c r="G20" s="32"/>
      <c r="H20" s="378"/>
      <c r="I20" s="327"/>
      <c r="J20" s="444"/>
      <c r="K20" s="87"/>
      <c r="L20" s="87"/>
      <c r="M20" s="87"/>
      <c r="N20" s="87"/>
    </row>
    <row r="21" spans="1:14" x14ac:dyDescent="0.25">
      <c r="E21" s="15"/>
      <c r="G21" s="32"/>
      <c r="H21" s="378"/>
      <c r="I21" s="327"/>
      <c r="J21" s="444"/>
      <c r="K21" s="87"/>
      <c r="L21" s="87"/>
      <c r="M21" s="87"/>
      <c r="N21" s="87"/>
    </row>
    <row r="22" spans="1:14" x14ac:dyDescent="0.25">
      <c r="A22" s="32" t="s">
        <v>86</v>
      </c>
      <c r="G22" s="32"/>
      <c r="H22" s="378"/>
      <c r="I22" s="327"/>
      <c r="J22" s="444"/>
      <c r="K22" s="87"/>
      <c r="L22" s="87"/>
      <c r="M22" s="87"/>
      <c r="N22" s="87"/>
    </row>
    <row r="23" spans="1:14" x14ac:dyDescent="0.25">
      <c r="A23" s="2" t="s">
        <v>73</v>
      </c>
      <c r="G23" s="32"/>
      <c r="H23" s="378"/>
      <c r="I23" s="327"/>
      <c r="J23" s="444"/>
      <c r="K23" s="87"/>
      <c r="L23" s="87"/>
      <c r="M23" s="87"/>
      <c r="N23" s="87"/>
    </row>
    <row r="24" spans="1:14" x14ac:dyDescent="0.25">
      <c r="G24" s="32"/>
      <c r="H24" s="378"/>
      <c r="I24" s="327"/>
      <c r="J24" s="444"/>
      <c r="K24" s="87"/>
      <c r="L24" s="87"/>
      <c r="M24" s="87"/>
      <c r="N24" s="87"/>
    </row>
    <row r="25" spans="1:14" x14ac:dyDescent="0.25">
      <c r="G25" s="32"/>
      <c r="H25" s="378"/>
      <c r="I25" s="327"/>
      <c r="J25" s="444"/>
      <c r="K25" s="87"/>
      <c r="L25" s="87"/>
      <c r="M25" s="87"/>
      <c r="N25" s="87"/>
    </row>
    <row r="26" spans="1:14" x14ac:dyDescent="0.25">
      <c r="A26" s="198">
        <v>37315</v>
      </c>
      <c r="C26" s="609">
        <v>275313.71999999997</v>
      </c>
      <c r="G26" s="32"/>
      <c r="H26" s="15"/>
      <c r="I26" s="327"/>
      <c r="J26" s="444"/>
      <c r="K26" s="87"/>
      <c r="L26" s="87"/>
      <c r="M26" s="87"/>
      <c r="N26" s="87"/>
    </row>
    <row r="27" spans="1:14" x14ac:dyDescent="0.25">
      <c r="F27" s="259"/>
      <c r="G27" s="32"/>
      <c r="H27" s="15"/>
      <c r="I27" s="87"/>
      <c r="J27" s="444"/>
      <c r="K27" s="87"/>
      <c r="L27" s="87"/>
      <c r="M27" s="87"/>
      <c r="N27" s="87"/>
    </row>
    <row r="28" spans="1:14" x14ac:dyDescent="0.25">
      <c r="A28" s="57">
        <v>37315</v>
      </c>
      <c r="G28" s="32"/>
      <c r="H28" s="15"/>
      <c r="I28" s="87"/>
      <c r="J28" s="444"/>
      <c r="K28" s="87"/>
      <c r="L28" s="87"/>
      <c r="M28" s="87"/>
      <c r="N28" s="87"/>
    </row>
    <row r="29" spans="1:14" x14ac:dyDescent="0.25">
      <c r="A29" s="32">
        <v>9164</v>
      </c>
      <c r="B29" s="210"/>
      <c r="G29" s="32"/>
      <c r="H29" s="15"/>
      <c r="I29" s="87"/>
      <c r="J29" s="444"/>
      <c r="K29" s="87"/>
      <c r="L29" s="87"/>
      <c r="M29" s="87"/>
      <c r="N29" s="87"/>
    </row>
    <row r="30" spans="1:14" x14ac:dyDescent="0.25">
      <c r="A30" s="32">
        <v>9167</v>
      </c>
      <c r="B30" s="210"/>
      <c r="I30" s="87"/>
      <c r="J30" s="444"/>
      <c r="K30" s="87"/>
      <c r="L30" s="87"/>
      <c r="M30" s="87"/>
      <c r="N30" s="87"/>
    </row>
    <row r="31" spans="1:14" x14ac:dyDescent="0.25">
      <c r="B31" s="14">
        <f>+B30+B29</f>
        <v>0</v>
      </c>
      <c r="I31" s="87"/>
      <c r="J31" s="444"/>
      <c r="K31" s="87"/>
      <c r="L31" s="87"/>
      <c r="M31" s="87"/>
      <c r="N31" s="87"/>
    </row>
    <row r="32" spans="1:14" x14ac:dyDescent="0.25">
      <c r="B32" s="15">
        <f>+summary!G4</f>
        <v>2.48</v>
      </c>
      <c r="C32" s="199">
        <f>+B32*B31</f>
        <v>0</v>
      </c>
    </row>
    <row r="33" spans="1:9" x14ac:dyDescent="0.25">
      <c r="C33" s="321">
        <f>+C32+C26</f>
        <v>275313.71999999997</v>
      </c>
      <c r="E33" s="15"/>
    </row>
    <row r="35" spans="1:9" x14ac:dyDescent="0.25">
      <c r="E35" s="264"/>
    </row>
    <row r="36" spans="1:9" x14ac:dyDescent="0.25">
      <c r="E36" s="15"/>
    </row>
    <row r="37" spans="1:9" x14ac:dyDescent="0.25">
      <c r="A37" s="32" t="s">
        <v>86</v>
      </c>
      <c r="E37" s="32" t="s">
        <v>148</v>
      </c>
      <c r="F37" s="350">
        <v>24268</v>
      </c>
      <c r="G37" s="350">
        <v>24693</v>
      </c>
      <c r="H37" s="350">
        <v>24361</v>
      </c>
    </row>
    <row r="38" spans="1:9" x14ac:dyDescent="0.25">
      <c r="A38" s="32" t="s">
        <v>74</v>
      </c>
      <c r="E38" s="49">
        <f>+A5</f>
        <v>37315</v>
      </c>
      <c r="F38" s="608">
        <v>363784</v>
      </c>
      <c r="G38" s="610">
        <v>117857</v>
      </c>
      <c r="H38" s="608">
        <v>197167</v>
      </c>
      <c r="I38" s="14"/>
    </row>
    <row r="39" spans="1:9" x14ac:dyDescent="0.25">
      <c r="E39" s="49">
        <f>+A7</f>
        <v>37323</v>
      </c>
      <c r="F39" s="348">
        <f>+B18</f>
        <v>26388</v>
      </c>
      <c r="G39" s="348">
        <f>+B31</f>
        <v>0</v>
      </c>
      <c r="H39" s="348">
        <f>+B46</f>
        <v>711</v>
      </c>
      <c r="I39" s="14"/>
    </row>
    <row r="40" spans="1:9" x14ac:dyDescent="0.25">
      <c r="A40" s="49">
        <v>37315</v>
      </c>
      <c r="C40" s="609">
        <v>863723.35</v>
      </c>
      <c r="F40" s="14">
        <f>+F39+F38</f>
        <v>390172</v>
      </c>
      <c r="G40" s="14">
        <f>+G39+G38</f>
        <v>117857</v>
      </c>
      <c r="H40" s="14">
        <f>+H39+H38</f>
        <v>197878</v>
      </c>
      <c r="I40" s="14">
        <f>+H40+G40+F40</f>
        <v>705907</v>
      </c>
    </row>
    <row r="41" spans="1:9" x14ac:dyDescent="0.25">
      <c r="G41" s="32"/>
      <c r="H41" s="15"/>
      <c r="I41" s="32"/>
    </row>
    <row r="42" spans="1:9" x14ac:dyDescent="0.25">
      <c r="A42" s="245">
        <v>37323</v>
      </c>
      <c r="G42" s="32"/>
    </row>
    <row r="43" spans="1:9" x14ac:dyDescent="0.25">
      <c r="A43" s="248">
        <v>500241</v>
      </c>
      <c r="B43" s="14"/>
      <c r="G43" s="32"/>
    </row>
    <row r="44" spans="1:9" x14ac:dyDescent="0.25">
      <c r="A44" s="32">
        <v>500391</v>
      </c>
      <c r="B44" s="210"/>
      <c r="G44" s="32"/>
      <c r="H44" s="379"/>
      <c r="I44" s="14"/>
    </row>
    <row r="45" spans="1:9" x14ac:dyDescent="0.25">
      <c r="A45" s="32">
        <v>500392</v>
      </c>
      <c r="B45" s="250">
        <v>711</v>
      </c>
      <c r="G45" s="32"/>
      <c r="H45" s="379"/>
      <c r="I45" s="14"/>
    </row>
    <row r="46" spans="1:9" x14ac:dyDescent="0.25">
      <c r="B46" s="14">
        <f>SUM(B43:B45)</f>
        <v>711</v>
      </c>
      <c r="G46" s="32"/>
      <c r="H46" s="379"/>
      <c r="I46" s="14"/>
    </row>
    <row r="47" spans="1:9" x14ac:dyDescent="0.25">
      <c r="B47" s="199">
        <f>+summary!G5</f>
        <v>2.4900000000000002</v>
      </c>
      <c r="C47" s="199">
        <f>+B47*B46</f>
        <v>1770.39</v>
      </c>
      <c r="H47" s="379"/>
      <c r="I47" s="14"/>
    </row>
    <row r="48" spans="1:9" x14ac:dyDescent="0.25">
      <c r="C48" s="321">
        <f>+C47+C40</f>
        <v>865493.74</v>
      </c>
      <c r="E48" s="204"/>
      <c r="H48" s="379"/>
      <c r="I48" s="14"/>
    </row>
    <row r="49" spans="1:9" x14ac:dyDescent="0.25">
      <c r="E49" s="213"/>
      <c r="H49" s="379"/>
      <c r="I49" s="14"/>
    </row>
    <row r="50" spans="1:9" x14ac:dyDescent="0.25">
      <c r="E50" s="204"/>
      <c r="H50" s="379"/>
      <c r="I50" s="14"/>
    </row>
    <row r="51" spans="1:9" x14ac:dyDescent="0.25">
      <c r="C51" s="310"/>
      <c r="E51" s="213"/>
    </row>
    <row r="52" spans="1:9" x14ac:dyDescent="0.25">
      <c r="A52" s="32" t="s">
        <v>86</v>
      </c>
      <c r="C52" s="249"/>
    </row>
    <row r="53" spans="1:9" x14ac:dyDescent="0.25">
      <c r="A53" s="32">
        <v>21665</v>
      </c>
      <c r="B53" s="15" t="s">
        <v>137</v>
      </c>
      <c r="C53" s="605">
        <v>73445.08</v>
      </c>
      <c r="D53" s="32" t="s">
        <v>119</v>
      </c>
      <c r="E53" s="50"/>
      <c r="H53" s="379">
        <v>21665</v>
      </c>
      <c r="I53" s="580">
        <v>36401</v>
      </c>
    </row>
    <row r="54" spans="1:9" x14ac:dyDescent="0.25">
      <c r="A54" s="32">
        <v>22664</v>
      </c>
      <c r="B54" s="15" t="s">
        <v>137</v>
      </c>
      <c r="C54" s="607">
        <v>23612.35</v>
      </c>
      <c r="D54" s="32" t="s">
        <v>120</v>
      </c>
      <c r="H54" s="379">
        <v>22664</v>
      </c>
      <c r="I54" s="606">
        <v>18932</v>
      </c>
    </row>
    <row r="55" spans="1:9" x14ac:dyDescent="0.25">
      <c r="H55" s="380"/>
      <c r="I55" s="16"/>
    </row>
    <row r="56" spans="1:9" x14ac:dyDescent="0.25">
      <c r="C56" s="419"/>
    </row>
    <row r="57" spans="1:9" x14ac:dyDescent="0.25">
      <c r="C57" s="315">
        <f>+C54+C53+C48+C33+C20</f>
        <v>2803545.69</v>
      </c>
      <c r="I57" s="14">
        <f>SUM(I40:I54)</f>
        <v>761240</v>
      </c>
    </row>
    <row r="61" spans="1:9" x14ac:dyDescent="0.25">
      <c r="C61" s="15">
        <f>+DEFS!F49</f>
        <v>-2911899.1300000004</v>
      </c>
    </row>
    <row r="62" spans="1:9" x14ac:dyDescent="0.25">
      <c r="C62" s="15">
        <f>+C61+C57</f>
        <v>-108353.44000000041</v>
      </c>
      <c r="I62" s="31">
        <f>+I57+DEFS!K49</f>
        <v>274550</v>
      </c>
    </row>
    <row r="70" spans="1:4" x14ac:dyDescent="0.25">
      <c r="C70" s="14"/>
    </row>
    <row r="71" spans="1:4" x14ac:dyDescent="0.25">
      <c r="C71" s="14"/>
    </row>
    <row r="72" spans="1:4" x14ac:dyDescent="0.25">
      <c r="A72" s="32">
        <v>24268</v>
      </c>
      <c r="B72" s="15">
        <f>+C20</f>
        <v>1565680.8</v>
      </c>
      <c r="C72" s="14">
        <f>+F40</f>
        <v>390172</v>
      </c>
    </row>
    <row r="73" spans="1:4" x14ac:dyDescent="0.25">
      <c r="A73" s="32">
        <v>24693</v>
      </c>
      <c r="B73" s="15">
        <f>+C33</f>
        <v>275313.71999999997</v>
      </c>
      <c r="C73" s="14">
        <f>+G40</f>
        <v>117857</v>
      </c>
    </row>
    <row r="74" spans="1:4" x14ac:dyDescent="0.25">
      <c r="A74" s="32">
        <v>24361</v>
      </c>
      <c r="B74" s="15">
        <f>+C48</f>
        <v>865493.74</v>
      </c>
      <c r="C74" s="14">
        <f>+H40</f>
        <v>197878</v>
      </c>
    </row>
    <row r="75" spans="1:4" x14ac:dyDescent="0.25">
      <c r="A75" s="32">
        <v>21665</v>
      </c>
      <c r="B75" s="15">
        <f>+C53</f>
        <v>73445.08</v>
      </c>
      <c r="C75" s="14">
        <f>+I53</f>
        <v>36401</v>
      </c>
    </row>
    <row r="76" spans="1:4" x14ac:dyDescent="0.25">
      <c r="A76" s="32">
        <v>22664</v>
      </c>
      <c r="B76" s="15">
        <f>+C54</f>
        <v>23612.35</v>
      </c>
      <c r="C76" s="14">
        <f>+I54</f>
        <v>18932</v>
      </c>
    </row>
    <row r="77" spans="1:4" x14ac:dyDescent="0.25">
      <c r="A77" s="32">
        <v>23995</v>
      </c>
      <c r="B77" s="15">
        <f>+DEFS!C40</f>
        <v>-1043873.03</v>
      </c>
      <c r="C77" s="14">
        <f>+DEFS!I36</f>
        <v>-187220</v>
      </c>
      <c r="D77" s="16"/>
    </row>
    <row r="78" spans="1:4" x14ac:dyDescent="0.25">
      <c r="A78" s="32">
        <v>22051</v>
      </c>
      <c r="B78" s="15">
        <f>+DEFS!E40</f>
        <v>-663208.97</v>
      </c>
      <c r="C78" s="14">
        <f>+DEFS!J36</f>
        <v>-170963</v>
      </c>
    </row>
    <row r="79" spans="1:4" x14ac:dyDescent="0.25">
      <c r="A79" s="32">
        <v>20379</v>
      </c>
      <c r="B79" s="15">
        <f>+DEFS!F45</f>
        <v>-51695.87</v>
      </c>
      <c r="C79" s="14">
        <f>+DEFS!K45</f>
        <v>2979</v>
      </c>
    </row>
    <row r="80" spans="1:4" x14ac:dyDescent="0.25">
      <c r="A80" s="32">
        <v>26357</v>
      </c>
      <c r="B80" s="15">
        <f>+DEFS!F46</f>
        <v>-14194.820000000007</v>
      </c>
      <c r="C80" s="14">
        <f>+DEFS!K46</f>
        <v>1955</v>
      </c>
    </row>
    <row r="81" spans="1:3" x14ac:dyDescent="0.25">
      <c r="A81" s="32">
        <v>21544</v>
      </c>
      <c r="B81" s="15">
        <f>+DEFS!F47</f>
        <v>61340.160000000003</v>
      </c>
      <c r="C81" s="14">
        <f>+DEFS!K47</f>
        <v>36108</v>
      </c>
    </row>
    <row r="82" spans="1:3" x14ac:dyDescent="0.25">
      <c r="A82" s="32">
        <v>24532</v>
      </c>
      <c r="B82" s="15">
        <f>+DEFS!F48</f>
        <v>-1200266.6000000001</v>
      </c>
      <c r="C82" s="14">
        <f>+DEFS!K48</f>
        <v>-169549</v>
      </c>
    </row>
    <row r="83" spans="1:3" x14ac:dyDescent="0.25">
      <c r="B83" s="15">
        <f>SUM(B72:B82)</f>
        <v>-108353.44000000018</v>
      </c>
      <c r="C83" s="16">
        <f>SUM(C72:C82)</f>
        <v>274550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4" workbookViewId="0">
      <selection activeCell="G48" sqref="G48"/>
    </sheetView>
  </sheetViews>
  <sheetFormatPr defaultRowHeight="13.2" x14ac:dyDescent="0.25"/>
  <cols>
    <col min="2" max="2" width="9.33203125" bestFit="1" customWidth="1"/>
    <col min="3" max="3" width="14" bestFit="1" customWidth="1"/>
    <col min="5" max="5" width="9.88671875" bestFit="1" customWidth="1"/>
    <col min="6" max="6" width="12" bestFit="1" customWidth="1"/>
    <col min="7" max="7" width="9.5546875" bestFit="1" customWidth="1"/>
    <col min="8" max="8" width="12" bestFit="1" customWidth="1"/>
    <col min="9" max="9" width="12.6640625" customWidth="1"/>
    <col min="11" max="11" width="9.5546875" bestFit="1" customWidth="1"/>
    <col min="13" max="13" width="10.88671875" bestFit="1" customWidth="1"/>
  </cols>
  <sheetData>
    <row r="1" spans="1:10" x14ac:dyDescent="0.25">
      <c r="A1" s="54"/>
      <c r="B1" s="312">
        <v>23995</v>
      </c>
      <c r="C1" s="231"/>
      <c r="D1" s="311">
        <v>22051</v>
      </c>
      <c r="F1" s="2"/>
      <c r="H1" s="118"/>
    </row>
    <row r="2" spans="1:10" x14ac:dyDescent="0.25">
      <c r="B2" s="12">
        <v>59687</v>
      </c>
      <c r="D2" s="12">
        <v>10703</v>
      </c>
      <c r="E2" s="4"/>
      <c r="F2" s="12"/>
      <c r="G2" s="4"/>
    </row>
    <row r="3" spans="1:10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170</v>
      </c>
      <c r="G3" s="6"/>
      <c r="H3" s="115"/>
    </row>
    <row r="4" spans="1:10" x14ac:dyDescent="0.25">
      <c r="A4" s="10">
        <v>1</v>
      </c>
      <c r="B4" s="11">
        <v>674</v>
      </c>
      <c r="C4" s="11"/>
      <c r="D4" s="11">
        <v>34705</v>
      </c>
      <c r="E4" s="11">
        <v>34133</v>
      </c>
      <c r="F4" s="11">
        <f>+E4+C4-D4-B4</f>
        <v>-1246</v>
      </c>
      <c r="G4" s="11"/>
      <c r="I4" s="11"/>
      <c r="J4" s="24"/>
    </row>
    <row r="5" spans="1:10" x14ac:dyDescent="0.25">
      <c r="A5" s="10">
        <v>2</v>
      </c>
      <c r="B5" s="11">
        <v>318</v>
      </c>
      <c r="C5" s="11"/>
      <c r="D5" s="11">
        <v>34620</v>
      </c>
      <c r="E5" s="11">
        <v>34133</v>
      </c>
      <c r="F5" s="11">
        <f t="shared" ref="F5:F34" si="0">+E5+C5-D5-B5</f>
        <v>-805</v>
      </c>
      <c r="G5" s="11"/>
      <c r="I5" s="11"/>
      <c r="J5" s="24"/>
    </row>
    <row r="6" spans="1:10" x14ac:dyDescent="0.25">
      <c r="A6" s="10">
        <v>3</v>
      </c>
      <c r="B6" s="11">
        <v>423</v>
      </c>
      <c r="C6" s="11"/>
      <c r="D6" s="129">
        <v>34786</v>
      </c>
      <c r="E6" s="11">
        <v>34133</v>
      </c>
      <c r="F6" s="11">
        <f t="shared" si="0"/>
        <v>-1076</v>
      </c>
      <c r="G6" s="11"/>
      <c r="I6" s="11"/>
      <c r="J6" s="24"/>
    </row>
    <row r="7" spans="1:10" x14ac:dyDescent="0.25">
      <c r="A7" s="10">
        <v>4</v>
      </c>
      <c r="B7" s="11">
        <v>713</v>
      </c>
      <c r="C7" s="11"/>
      <c r="D7" s="129">
        <v>34587</v>
      </c>
      <c r="E7" s="11">
        <v>34133</v>
      </c>
      <c r="F7" s="11">
        <f t="shared" si="0"/>
        <v>-1167</v>
      </c>
      <c r="G7" s="11"/>
      <c r="I7" s="11"/>
      <c r="J7" s="24"/>
    </row>
    <row r="8" spans="1:10" x14ac:dyDescent="0.25">
      <c r="A8" s="10">
        <v>5</v>
      </c>
      <c r="B8" s="11">
        <v>772</v>
      </c>
      <c r="C8" s="11"/>
      <c r="D8" s="11">
        <v>34764</v>
      </c>
      <c r="E8" s="11">
        <v>33120</v>
      </c>
      <c r="F8" s="11">
        <f t="shared" si="0"/>
        <v>-2416</v>
      </c>
      <c r="G8" s="11"/>
      <c r="I8" s="11"/>
      <c r="J8" s="24"/>
    </row>
    <row r="9" spans="1:10" x14ac:dyDescent="0.25">
      <c r="A9" s="10">
        <v>6</v>
      </c>
      <c r="B9" s="11">
        <v>596</v>
      </c>
      <c r="C9" s="11"/>
      <c r="D9" s="11">
        <v>34664</v>
      </c>
      <c r="E9" s="11">
        <v>33120</v>
      </c>
      <c r="F9" s="11">
        <f t="shared" si="0"/>
        <v>-2140</v>
      </c>
      <c r="G9" s="11"/>
      <c r="I9" s="11"/>
      <c r="J9" s="24"/>
    </row>
    <row r="10" spans="1:10" x14ac:dyDescent="0.25">
      <c r="A10" s="10">
        <v>7</v>
      </c>
      <c r="B10" s="11">
        <v>408</v>
      </c>
      <c r="C10" s="11"/>
      <c r="D10" s="11">
        <v>34690</v>
      </c>
      <c r="E10" s="11">
        <v>34133</v>
      </c>
      <c r="F10" s="11">
        <f t="shared" si="0"/>
        <v>-965</v>
      </c>
      <c r="G10" s="11"/>
      <c r="I10" s="11"/>
      <c r="J10" s="24"/>
    </row>
    <row r="11" spans="1:10" x14ac:dyDescent="0.25">
      <c r="A11" s="10">
        <v>8</v>
      </c>
      <c r="B11" s="11">
        <v>294</v>
      </c>
      <c r="C11" s="11"/>
      <c r="D11" s="11">
        <v>33684</v>
      </c>
      <c r="E11" s="11">
        <v>33120</v>
      </c>
      <c r="F11" s="11">
        <f t="shared" si="0"/>
        <v>-858</v>
      </c>
      <c r="G11" s="11"/>
      <c r="I11" s="11"/>
      <c r="J11" s="24"/>
    </row>
    <row r="12" spans="1:10" x14ac:dyDescent="0.25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I12" s="11"/>
      <c r="J12" s="24"/>
    </row>
    <row r="13" spans="1:10" x14ac:dyDescent="0.25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I13" s="11"/>
      <c r="J13" s="24"/>
    </row>
    <row r="14" spans="1:10" x14ac:dyDescent="0.25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5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5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5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5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5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5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5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5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5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5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5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5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5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5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5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148</v>
      </c>
      <c r="I33" s="350">
        <v>23995</v>
      </c>
      <c r="J33" s="350">
        <v>22051</v>
      </c>
      <c r="K33" s="350"/>
    </row>
    <row r="34" spans="1:13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37315</v>
      </c>
      <c r="I34" s="608">
        <v>-183022</v>
      </c>
      <c r="J34" s="608">
        <v>-164488</v>
      </c>
      <c r="K34" s="14"/>
      <c r="L34" s="14"/>
    </row>
    <row r="35" spans="1:13" x14ac:dyDescent="0.25">
      <c r="A35" s="10"/>
      <c r="B35" s="11">
        <f>SUM(B4:B34)</f>
        <v>4198</v>
      </c>
      <c r="C35" s="11">
        <f>SUM(C4:C34)</f>
        <v>0</v>
      </c>
      <c r="D35" s="11">
        <f>SUM(D4:D34)</f>
        <v>276500</v>
      </c>
      <c r="E35" s="11">
        <f>SUM(E4:E34)</f>
        <v>270025</v>
      </c>
      <c r="F35" s="11">
        <f>SUM(F4:F34)</f>
        <v>-10673</v>
      </c>
      <c r="G35" s="11"/>
      <c r="H35" s="49">
        <f>+A40</f>
        <v>37323</v>
      </c>
      <c r="I35" s="348">
        <f>+C36</f>
        <v>-4198</v>
      </c>
      <c r="J35" s="348">
        <f>+E36</f>
        <v>-6475</v>
      </c>
      <c r="K35" s="206"/>
      <c r="L35" s="14"/>
    </row>
    <row r="36" spans="1:13" x14ac:dyDescent="0.25">
      <c r="C36" s="25">
        <f>+C35-B35</f>
        <v>-4198</v>
      </c>
      <c r="E36" s="25">
        <f>+E35-D35</f>
        <v>-6475</v>
      </c>
      <c r="F36" s="25">
        <f>+E36+C36</f>
        <v>-10673</v>
      </c>
      <c r="H36" s="32"/>
      <c r="I36" s="14">
        <f>+I35+I34</f>
        <v>-187220</v>
      </c>
      <c r="J36" s="14">
        <f>+J35+J34</f>
        <v>-170963</v>
      </c>
      <c r="K36" s="14">
        <f>+J36+I36</f>
        <v>-358183</v>
      </c>
      <c r="L36" s="14"/>
    </row>
    <row r="37" spans="1:13" x14ac:dyDescent="0.25">
      <c r="C37" s="313">
        <f>+summary!G5</f>
        <v>2.4900000000000002</v>
      </c>
      <c r="E37" s="104">
        <f>+C37</f>
        <v>2.4900000000000002</v>
      </c>
      <c r="F37" s="138">
        <f>+F36*E37</f>
        <v>-26575.770000000004</v>
      </c>
    </row>
    <row r="38" spans="1:13" x14ac:dyDescent="0.25">
      <c r="C38" s="138">
        <f>+C37*C36</f>
        <v>-10453.02</v>
      </c>
      <c r="E38" s="136">
        <f>+E37*E36</f>
        <v>-16122.750000000002</v>
      </c>
      <c r="F38" s="138">
        <f>+E38+C38</f>
        <v>-26575.770000000004</v>
      </c>
    </row>
    <row r="39" spans="1:13" x14ac:dyDescent="0.25">
      <c r="A39" s="57">
        <v>37315</v>
      </c>
      <c r="B39" s="2" t="s">
        <v>45</v>
      </c>
      <c r="C39" s="615">
        <v>-1033420.01</v>
      </c>
      <c r="D39" s="320"/>
      <c r="E39" s="614">
        <v>-647086.22</v>
      </c>
      <c r="F39" s="319">
        <f>+E39+C39</f>
        <v>-1680506.23</v>
      </c>
    </row>
    <row r="40" spans="1:13" x14ac:dyDescent="0.25">
      <c r="A40" s="57">
        <v>37323</v>
      </c>
      <c r="B40" s="2" t="s">
        <v>45</v>
      </c>
      <c r="C40" s="314">
        <f>+C39+C38</f>
        <v>-1043873.03</v>
      </c>
      <c r="D40" s="252"/>
      <c r="E40" s="314">
        <f>+E39+E38</f>
        <v>-663208.97</v>
      </c>
      <c r="F40" s="314">
        <f>+E40+C40</f>
        <v>-1707082</v>
      </c>
      <c r="H40" s="131"/>
    </row>
    <row r="41" spans="1:13" x14ac:dyDescent="0.25">
      <c r="C41" s="329"/>
      <c r="D41" s="246"/>
      <c r="E41" s="246"/>
      <c r="H41" s="31">
        <f>+C39+E39+F45+F46+F47+F48</f>
        <v>-2885323.3600000003</v>
      </c>
    </row>
    <row r="42" spans="1:13" x14ac:dyDescent="0.25">
      <c r="C42" s="246"/>
      <c r="D42" s="246"/>
      <c r="E42" s="246"/>
    </row>
    <row r="43" spans="1:13" x14ac:dyDescent="0.25">
      <c r="C43" s="246"/>
      <c r="D43" s="246"/>
      <c r="E43" s="12" t="s">
        <v>112</v>
      </c>
      <c r="F43" s="572"/>
    </row>
    <row r="44" spans="1:13" x14ac:dyDescent="0.25">
      <c r="C44" s="246"/>
      <c r="D44" s="246"/>
      <c r="E44" s="12">
        <v>22864</v>
      </c>
      <c r="F44" s="571">
        <v>0</v>
      </c>
      <c r="G44" s="249" t="s">
        <v>47</v>
      </c>
      <c r="J44" s="12">
        <v>22864</v>
      </c>
      <c r="K44" s="442"/>
    </row>
    <row r="45" spans="1:13" x14ac:dyDescent="0.25">
      <c r="C45" s="246"/>
      <c r="D45" s="246"/>
      <c r="E45" s="12">
        <v>20379</v>
      </c>
      <c r="F45" s="609">
        <v>-51695.87</v>
      </c>
      <c r="G45" s="249" t="s">
        <v>122</v>
      </c>
      <c r="J45" s="12">
        <v>20379</v>
      </c>
      <c r="K45" s="610">
        <v>2979</v>
      </c>
      <c r="M45" s="14"/>
    </row>
    <row r="46" spans="1:13" x14ac:dyDescent="0.25">
      <c r="C46" s="246"/>
      <c r="D46" s="246"/>
      <c r="E46" s="12">
        <v>26357</v>
      </c>
      <c r="F46" s="617">
        <f>44144.84-58339.66</f>
        <v>-14194.820000000007</v>
      </c>
      <c r="G46" s="249" t="s">
        <v>123</v>
      </c>
      <c r="J46" s="12">
        <v>26357</v>
      </c>
      <c r="K46" s="610">
        <f>26521-24566</f>
        <v>1955</v>
      </c>
    </row>
    <row r="47" spans="1:13" x14ac:dyDescent="0.25">
      <c r="C47" s="246"/>
      <c r="D47" s="246"/>
      <c r="E47" s="12">
        <v>21544</v>
      </c>
      <c r="F47" s="609">
        <v>61340.160000000003</v>
      </c>
      <c r="G47" s="249" t="s">
        <v>124</v>
      </c>
      <c r="J47" s="12">
        <v>21544</v>
      </c>
      <c r="K47" s="610">
        <v>36108</v>
      </c>
    </row>
    <row r="48" spans="1:13" x14ac:dyDescent="0.25">
      <c r="C48" s="246"/>
      <c r="D48" s="246"/>
      <c r="E48" s="12">
        <v>24532</v>
      </c>
      <c r="F48" s="616">
        <v>-1200266.6000000001</v>
      </c>
      <c r="G48" s="249" t="s">
        <v>121</v>
      </c>
      <c r="J48" s="12">
        <v>24532</v>
      </c>
      <c r="K48" s="608">
        <v>-169549</v>
      </c>
    </row>
    <row r="49" spans="3:13" x14ac:dyDescent="0.25">
      <c r="C49" s="246"/>
      <c r="D49" s="246"/>
      <c r="F49" s="330">
        <f>SUM(F40:F48)</f>
        <v>-2911899.1300000004</v>
      </c>
      <c r="G49" s="246"/>
      <c r="K49" s="14">
        <f>SUM(K36:K48)</f>
        <v>-486690</v>
      </c>
    </row>
    <row r="50" spans="3:13" x14ac:dyDescent="0.25">
      <c r="C50" s="246"/>
      <c r="D50" s="246"/>
      <c r="F50" s="246"/>
      <c r="G50" s="246"/>
    </row>
    <row r="51" spans="3:13" x14ac:dyDescent="0.25">
      <c r="E51" s="2" t="s">
        <v>138</v>
      </c>
      <c r="F51" s="138">
        <f>+Duke!C57</f>
        <v>2803545.69</v>
      </c>
      <c r="M51" s="14">
        <f>+Duke!I57</f>
        <v>761240</v>
      </c>
    </row>
    <row r="53" spans="3:13" x14ac:dyDescent="0.25">
      <c r="F53" s="104">
        <f>+F51+F49</f>
        <v>-108353.44000000041</v>
      </c>
      <c r="M53" s="16">
        <f>+M51+K49</f>
        <v>274550</v>
      </c>
    </row>
    <row r="59" spans="3:13" x14ac:dyDescent="0.25">
      <c r="H59" s="251"/>
    </row>
    <row r="60" spans="3:13" x14ac:dyDescent="0.25">
      <c r="H60" s="251"/>
    </row>
    <row r="61" spans="3:13" x14ac:dyDescent="0.25">
      <c r="H61" s="251"/>
    </row>
    <row r="62" spans="3:13" x14ac:dyDescent="0.25">
      <c r="H62" s="343"/>
    </row>
    <row r="63" spans="3:13" x14ac:dyDescent="0.25">
      <c r="F63" s="343"/>
    </row>
    <row r="64" spans="3:13" x14ac:dyDescent="0.25">
      <c r="F64" s="343"/>
    </row>
    <row r="68" spans="1:3" x14ac:dyDescent="0.25">
      <c r="A68">
        <v>20379</v>
      </c>
      <c r="B68" s="31">
        <f>+K45</f>
        <v>2979</v>
      </c>
      <c r="C68" s="259">
        <f>+F45</f>
        <v>-51695.87</v>
      </c>
    </row>
    <row r="69" spans="1:3" x14ac:dyDescent="0.25">
      <c r="A69">
        <v>24532</v>
      </c>
      <c r="B69" s="31">
        <f>+K48</f>
        <v>-169549</v>
      </c>
      <c r="C69" s="247">
        <f>+F48</f>
        <v>-1200266.6000000001</v>
      </c>
    </row>
    <row r="70" spans="1:3" x14ac:dyDescent="0.25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5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5">
      <c r="A72">
        <v>22864</v>
      </c>
      <c r="B72" s="31">
        <f>+K44</f>
        <v>0</v>
      </c>
      <c r="C72" s="259">
        <f>+F44</f>
        <v>0</v>
      </c>
    </row>
    <row r="73" spans="1:3" x14ac:dyDescent="0.25">
      <c r="A73">
        <v>23995</v>
      </c>
      <c r="B73" s="31">
        <f>+I36</f>
        <v>-187220</v>
      </c>
      <c r="C73" s="247">
        <f>+C40</f>
        <v>-1043873.03</v>
      </c>
    </row>
    <row r="74" spans="1:3" x14ac:dyDescent="0.25">
      <c r="A74">
        <v>22051</v>
      </c>
      <c r="B74" s="31">
        <f>+J36</f>
        <v>-170963</v>
      </c>
      <c r="C74" s="247">
        <f>+E40</f>
        <v>-663208.97</v>
      </c>
    </row>
    <row r="75" spans="1:3" x14ac:dyDescent="0.25">
      <c r="A75">
        <v>21665</v>
      </c>
      <c r="B75">
        <f>+Duke!I53:I53</f>
        <v>36401</v>
      </c>
      <c r="C75">
        <f>+Duke!C53</f>
        <v>73445.08</v>
      </c>
    </row>
    <row r="76" spans="1:3" x14ac:dyDescent="0.25">
      <c r="A76">
        <v>22664</v>
      </c>
      <c r="B76">
        <f>+Duke!I54</f>
        <v>18932</v>
      </c>
      <c r="C76" s="247">
        <f>+Duke!C54</f>
        <v>23612.35</v>
      </c>
    </row>
    <row r="77" spans="1:3" x14ac:dyDescent="0.25">
      <c r="A77">
        <v>24361</v>
      </c>
      <c r="B77">
        <f>+Duke!H40</f>
        <v>197878</v>
      </c>
      <c r="C77" s="259">
        <f>+Duke!C48</f>
        <v>865493.74</v>
      </c>
    </row>
    <row r="78" spans="1:3" x14ac:dyDescent="0.25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5">
      <c r="A79">
        <v>24268</v>
      </c>
      <c r="B79">
        <f>+Duke!F40</f>
        <v>390172</v>
      </c>
      <c r="C79" s="259">
        <f>+Duke!C20</f>
        <v>1565680.8</v>
      </c>
    </row>
    <row r="81" spans="2:3" x14ac:dyDescent="0.25">
      <c r="B81" s="31">
        <f>SUM(B68:B80)</f>
        <v>274550</v>
      </c>
      <c r="C81" s="259">
        <f>SUM(C68:C80)</f>
        <v>-108353.43999999971</v>
      </c>
    </row>
    <row r="82" spans="2:3" x14ac:dyDescent="0.25">
      <c r="C82">
        <f>+C81/B81</f>
        <v>-0.39465831360407833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33" workbookViewId="0">
      <selection activeCell="C43" sqref="C43"/>
    </sheetView>
  </sheetViews>
  <sheetFormatPr defaultRowHeight="13.2" x14ac:dyDescent="0.25"/>
  <cols>
    <col min="4" max="4" width="11.6640625" customWidth="1"/>
    <col min="6" max="6" width="9.109375" style="246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70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462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3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5107</v>
      </c>
      <c r="C8" s="11">
        <v>4944</v>
      </c>
      <c r="D8" s="11"/>
      <c r="E8" s="11"/>
      <c r="F8" s="129">
        <v>824</v>
      </c>
      <c r="G8" s="11">
        <v>901</v>
      </c>
      <c r="H8" s="11">
        <v>1351</v>
      </c>
      <c r="I8" s="11">
        <v>1247</v>
      </c>
      <c r="J8" s="25">
        <f t="shared" ref="J8:J38" si="0">+C8-B8+E8-D8+G8-F8+I8-H8</f>
        <v>-190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4736</v>
      </c>
      <c r="C9" s="11">
        <v>4944</v>
      </c>
      <c r="D9" s="11"/>
      <c r="E9" s="11"/>
      <c r="F9" s="129">
        <v>171</v>
      </c>
      <c r="G9" s="11">
        <v>901</v>
      </c>
      <c r="H9" s="11">
        <v>1282</v>
      </c>
      <c r="I9" s="11">
        <v>1247</v>
      </c>
      <c r="J9" s="25">
        <f t="shared" si="0"/>
        <v>903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4732</v>
      </c>
      <c r="C10" s="11">
        <v>4944</v>
      </c>
      <c r="D10" s="11">
        <v>1</v>
      </c>
      <c r="E10" s="11"/>
      <c r="F10" s="129">
        <v>1065</v>
      </c>
      <c r="G10" s="11">
        <v>901</v>
      </c>
      <c r="H10" s="11">
        <v>1359</v>
      </c>
      <c r="I10" s="11">
        <v>1247</v>
      </c>
      <c r="J10" s="25">
        <f t="shared" si="0"/>
        <v>-65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5539</v>
      </c>
      <c r="C11" s="11">
        <v>4944</v>
      </c>
      <c r="D11" s="11">
        <v>1</v>
      </c>
      <c r="E11" s="11"/>
      <c r="F11" s="129">
        <v>1138</v>
      </c>
      <c r="G11" s="11">
        <v>901</v>
      </c>
      <c r="H11" s="11">
        <v>1382</v>
      </c>
      <c r="I11" s="11">
        <v>1247</v>
      </c>
      <c r="J11" s="25">
        <f t="shared" si="0"/>
        <v>-968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5559</v>
      </c>
      <c r="C12" s="11">
        <v>6484</v>
      </c>
      <c r="D12" s="11"/>
      <c r="E12" s="11"/>
      <c r="F12" s="129">
        <v>896</v>
      </c>
      <c r="G12" s="11">
        <v>901</v>
      </c>
      <c r="H12" s="11">
        <v>1409</v>
      </c>
      <c r="I12" s="11">
        <v>1247</v>
      </c>
      <c r="J12" s="25">
        <f t="shared" si="0"/>
        <v>768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>
        <v>5635</v>
      </c>
      <c r="C13" s="11">
        <v>5714</v>
      </c>
      <c r="D13" s="11"/>
      <c r="E13" s="11"/>
      <c r="F13" s="129">
        <v>811</v>
      </c>
      <c r="G13" s="11">
        <v>901</v>
      </c>
      <c r="H13" s="11">
        <v>1389</v>
      </c>
      <c r="I13" s="11">
        <v>1247</v>
      </c>
      <c r="J13" s="25">
        <f t="shared" si="0"/>
        <v>27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>
        <v>5741</v>
      </c>
      <c r="C14" s="11">
        <v>5714</v>
      </c>
      <c r="D14" s="11"/>
      <c r="E14" s="11"/>
      <c r="F14" s="129">
        <v>942</v>
      </c>
      <c r="G14" s="11">
        <v>854</v>
      </c>
      <c r="H14" s="11">
        <v>1350</v>
      </c>
      <c r="I14" s="11">
        <v>1247</v>
      </c>
      <c r="J14" s="25">
        <f t="shared" si="0"/>
        <v>-218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5">
      <c r="A15" s="10">
        <v>8</v>
      </c>
      <c r="B15" s="11">
        <v>5542</v>
      </c>
      <c r="C15" s="11">
        <v>4944</v>
      </c>
      <c r="D15" s="11"/>
      <c r="E15" s="11"/>
      <c r="F15" s="129">
        <v>913</v>
      </c>
      <c r="G15" s="11">
        <v>680</v>
      </c>
      <c r="H15" s="11">
        <v>1368</v>
      </c>
      <c r="I15" s="11">
        <v>1247</v>
      </c>
      <c r="J15" s="25">
        <f t="shared" si="0"/>
        <v>-952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5">
      <c r="A16" s="10">
        <v>9</v>
      </c>
      <c r="B16" s="11">
        <v>5518</v>
      </c>
      <c r="C16" s="11">
        <v>4944</v>
      </c>
      <c r="D16" s="11"/>
      <c r="E16" s="11"/>
      <c r="F16" s="129">
        <v>908</v>
      </c>
      <c r="G16" s="11">
        <v>225</v>
      </c>
      <c r="H16" s="11">
        <v>1358</v>
      </c>
      <c r="I16" s="11">
        <v>1247</v>
      </c>
      <c r="J16" s="25">
        <f t="shared" si="0"/>
        <v>-1368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5">
      <c r="A17" s="10">
        <v>10</v>
      </c>
      <c r="B17" s="11">
        <v>5484</v>
      </c>
      <c r="C17" s="11">
        <v>4944</v>
      </c>
      <c r="D17" s="11"/>
      <c r="E17" s="11"/>
      <c r="F17" s="129">
        <v>862</v>
      </c>
      <c r="G17" s="11">
        <v>8</v>
      </c>
      <c r="H17" s="11">
        <v>1355</v>
      </c>
      <c r="I17" s="11">
        <v>1247</v>
      </c>
      <c r="J17" s="25">
        <f t="shared" si="0"/>
        <v>-1502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5">
      <c r="A18" s="10">
        <v>11</v>
      </c>
      <c r="B18" s="11">
        <v>5409</v>
      </c>
      <c r="C18" s="11">
        <v>4944</v>
      </c>
      <c r="D18" s="11"/>
      <c r="E18" s="11"/>
      <c r="F18" s="129">
        <v>870</v>
      </c>
      <c r="G18" s="11">
        <v>901</v>
      </c>
      <c r="H18" s="11">
        <v>1372</v>
      </c>
      <c r="I18" s="11">
        <v>1247</v>
      </c>
      <c r="J18" s="25">
        <f t="shared" si="0"/>
        <v>-559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/>
      <c r="C19" s="11"/>
      <c r="D19" s="11"/>
      <c r="E19" s="11"/>
      <c r="F19" s="129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59002</v>
      </c>
      <c r="C39" s="11">
        <f t="shared" si="1"/>
        <v>57464</v>
      </c>
      <c r="D39" s="11">
        <f t="shared" si="1"/>
        <v>2</v>
      </c>
      <c r="E39" s="11">
        <f t="shared" si="1"/>
        <v>0</v>
      </c>
      <c r="F39" s="129">
        <f t="shared" si="1"/>
        <v>9400</v>
      </c>
      <c r="G39" s="11">
        <f t="shared" si="1"/>
        <v>8074</v>
      </c>
      <c r="H39" s="11">
        <f t="shared" si="1"/>
        <v>14975</v>
      </c>
      <c r="I39" s="11">
        <f t="shared" si="1"/>
        <v>13717</v>
      </c>
      <c r="J39" s="25">
        <f t="shared" si="1"/>
        <v>-4124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53">
        <f>+summary!G4</f>
        <v>2.48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-10227.52</v>
      </c>
      <c r="L41"/>
      <c r="R41" s="138"/>
      <c r="X41" s="138"/>
    </row>
    <row r="42" spans="1:24" x14ac:dyDescent="0.25">
      <c r="A42" s="57">
        <v>37315</v>
      </c>
      <c r="C42" s="15"/>
      <c r="J42" s="604">
        <v>326187.28000000003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37326</v>
      </c>
      <c r="C43" s="48"/>
      <c r="J43" s="138">
        <f>+J42+J41</f>
        <v>315959.76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A46" s="32" t="s">
        <v>148</v>
      </c>
      <c r="B46" s="32"/>
      <c r="C46" s="32"/>
      <c r="D46" s="32"/>
      <c r="L46"/>
    </row>
    <row r="47" spans="1:24" x14ac:dyDescent="0.25">
      <c r="A47" s="49">
        <f>+A42</f>
        <v>37315</v>
      </c>
      <c r="B47" s="32"/>
      <c r="C47" s="32"/>
      <c r="D47" s="599">
        <v>128267</v>
      </c>
      <c r="L47"/>
    </row>
    <row r="48" spans="1:24" x14ac:dyDescent="0.25">
      <c r="A48" s="49">
        <f>+A43</f>
        <v>37326</v>
      </c>
      <c r="B48" s="32"/>
      <c r="C48" s="32"/>
      <c r="D48" s="348">
        <f>+J39</f>
        <v>-4124</v>
      </c>
      <c r="L48"/>
    </row>
    <row r="49" spans="1:12" x14ac:dyDescent="0.25">
      <c r="A49" s="32"/>
      <c r="B49" s="32"/>
      <c r="C49" s="32"/>
      <c r="D49" s="14">
        <f>+D48+D47</f>
        <v>124143</v>
      </c>
      <c r="L49"/>
    </row>
    <row r="50" spans="1:12" x14ac:dyDescent="0.25">
      <c r="A50" s="139"/>
      <c r="B50" s="119"/>
      <c r="C50" s="140"/>
      <c r="D50" s="140"/>
      <c r="L50"/>
    </row>
    <row r="51" spans="1:12" x14ac:dyDescent="0.25">
      <c r="L51"/>
    </row>
    <row r="52" spans="1:12" x14ac:dyDescent="0.25">
      <c r="L52"/>
    </row>
    <row r="53" spans="1:12" x14ac:dyDescent="0.25">
      <c r="L53"/>
    </row>
    <row r="54" spans="1:12" x14ac:dyDescent="0.25">
      <c r="L54"/>
    </row>
    <row r="55" spans="1:12" x14ac:dyDescent="0.25">
      <c r="L55"/>
    </row>
    <row r="56" spans="1:12" x14ac:dyDescent="0.25">
      <c r="L56"/>
    </row>
    <row r="57" spans="1:12" x14ac:dyDescent="0.25">
      <c r="L57"/>
    </row>
    <row r="58" spans="1:12" x14ac:dyDescent="0.25">
      <c r="L58"/>
    </row>
    <row r="59" spans="1:12" x14ac:dyDescent="0.25">
      <c r="L59"/>
    </row>
    <row r="60" spans="1:12" x14ac:dyDescent="0.25">
      <c r="L60"/>
    </row>
    <row r="61" spans="1:12" x14ac:dyDescent="0.25">
      <c r="L61"/>
    </row>
    <row r="62" spans="1:12" x14ac:dyDescent="0.25">
      <c r="L62"/>
    </row>
    <row r="63" spans="1:12" x14ac:dyDescent="0.25">
      <c r="L63"/>
    </row>
    <row r="64" spans="1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9"/>
  <sheetViews>
    <sheetView topLeftCell="A3" workbookViewId="0">
      <selection activeCell="B31" sqref="B31"/>
    </sheetView>
  </sheetViews>
  <sheetFormatPr defaultRowHeight="13.2" outlineLevelRow="2" x14ac:dyDescent="0.25"/>
  <cols>
    <col min="1" max="1" width="24" style="285" customWidth="1"/>
    <col min="2" max="2" width="11.109375" style="247" bestFit="1" customWidth="1"/>
    <col min="3" max="3" width="10.5546875" style="286" customWidth="1"/>
    <col min="4" max="4" width="11" bestFit="1" customWidth="1"/>
    <col min="5" max="5" width="13.33203125" customWidth="1"/>
    <col min="6" max="6" width="6" customWidth="1"/>
    <col min="7" max="7" width="8.88671875" bestFit="1" customWidth="1"/>
    <col min="8" max="8" width="12.88671875" bestFit="1" customWidth="1"/>
    <col min="9" max="9" width="12.6640625" customWidth="1"/>
    <col min="10" max="10" width="9.5546875" bestFit="1" customWidth="1"/>
    <col min="11" max="11" width="11.33203125" bestFit="1" customWidth="1"/>
    <col min="13" max="13" width="34.44140625" customWidth="1"/>
  </cols>
  <sheetData>
    <row r="1" spans="1:32" ht="13.8" x14ac:dyDescent="0.25">
      <c r="A1" s="341"/>
    </row>
    <row r="2" spans="1:32" ht="12.9" customHeight="1" x14ac:dyDescent="0.25">
      <c r="A2" s="34" t="s">
        <v>140</v>
      </c>
      <c r="D2" s="7"/>
      <c r="F2" s="381" t="s">
        <v>78</v>
      </c>
      <c r="G2" s="384"/>
      <c r="H2" s="32"/>
    </row>
    <row r="3" spans="1:32" ht="12.9" customHeight="1" x14ac:dyDescent="0.25">
      <c r="D3" s="7"/>
      <c r="F3" s="382" t="s">
        <v>29</v>
      </c>
      <c r="G3" s="385">
        <f>+summary!G3</f>
        <v>2.48</v>
      </c>
      <c r="H3" s="400">
        <f ca="1">NOW()</f>
        <v>37327.76403622685</v>
      </c>
    </row>
    <row r="4" spans="1:32" ht="12.9" customHeight="1" x14ac:dyDescent="0.25">
      <c r="A4" s="34" t="s">
        <v>144</v>
      </c>
      <c r="C4" s="34" t="s">
        <v>5</v>
      </c>
      <c r="D4" s="7"/>
      <c r="F4" s="383" t="s">
        <v>30</v>
      </c>
      <c r="G4" s="385">
        <f>+summary!G4</f>
        <v>2.48</v>
      </c>
      <c r="H4" s="32"/>
    </row>
    <row r="5" spans="1:32" ht="12.9" customHeight="1" x14ac:dyDescent="0.25">
      <c r="D5" s="7"/>
      <c r="F5" s="382" t="s">
        <v>117</v>
      </c>
      <c r="G5" s="385">
        <f>+summary!G5</f>
        <v>2.4900000000000002</v>
      </c>
      <c r="H5" s="209" t="s">
        <v>314</v>
      </c>
      <c r="I5" s="259">
        <f>+summary!I5</f>
        <v>2.2999999999999998</v>
      </c>
    </row>
    <row r="6" spans="1:32" ht="6.9" customHeight="1" x14ac:dyDescent="0.25"/>
    <row r="7" spans="1:32" ht="12.9" customHeight="1" x14ac:dyDescent="0.25">
      <c r="A7" s="398" t="s">
        <v>162</v>
      </c>
      <c r="B7" s="399"/>
      <c r="AD7" s="32"/>
      <c r="AE7" s="32"/>
      <c r="AF7" s="32"/>
    </row>
    <row r="8" spans="1:32" ht="15.9" customHeight="1" outlineLevel="2" x14ac:dyDescent="0.25">
      <c r="A8" s="32"/>
      <c r="B8" s="439" t="s">
        <v>192</v>
      </c>
      <c r="C8" s="396" t="s">
        <v>0</v>
      </c>
      <c r="D8" s="12" t="s">
        <v>191</v>
      </c>
      <c r="E8" s="12" t="s">
        <v>189</v>
      </c>
      <c r="F8" s="2" t="s">
        <v>147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" customHeight="1" outlineLevel="2" x14ac:dyDescent="0.25">
      <c r="A9" s="364" t="s">
        <v>89</v>
      </c>
      <c r="B9" s="389" t="s">
        <v>193</v>
      </c>
      <c r="C9" s="397" t="s">
        <v>186</v>
      </c>
      <c r="D9" s="425" t="s">
        <v>190</v>
      </c>
      <c r="E9" s="39" t="s">
        <v>188</v>
      </c>
      <c r="F9" s="39" t="s">
        <v>145</v>
      </c>
      <c r="G9" s="388" t="s">
        <v>150</v>
      </c>
      <c r="H9" s="365" t="s">
        <v>101</v>
      </c>
      <c r="I9" s="364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" customHeight="1" outlineLevel="2" x14ac:dyDescent="0.25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" customHeight="1" outlineLevel="2" x14ac:dyDescent="0.25">
      <c r="A11" s="364" t="s">
        <v>154</v>
      </c>
    </row>
    <row r="12" spans="1:32" ht="13.5" customHeight="1" outlineLevel="1" x14ac:dyDescent="0.25">
      <c r="A12" s="497" t="s">
        <v>127</v>
      </c>
      <c r="B12" s="581">
        <f>+Calpine!D41</f>
        <v>9724.8499999999985</v>
      </c>
      <c r="C12" s="367">
        <f>+B12/$G$4</f>
        <v>3921.3104838709673</v>
      </c>
      <c r="D12" s="14">
        <f>+Calpine!D47</f>
        <v>92094</v>
      </c>
      <c r="E12" s="70">
        <f>+C12-D12</f>
        <v>-88172.68951612903</v>
      </c>
      <c r="F12" s="362">
        <f>+Calpine!A41</f>
        <v>37325</v>
      </c>
      <c r="G12" s="203" t="s">
        <v>152</v>
      </c>
      <c r="H12" s="204" t="s">
        <v>99</v>
      </c>
      <c r="I12" s="350"/>
      <c r="J12" s="70"/>
      <c r="K12" s="32"/>
    </row>
    <row r="13" spans="1:32" ht="13.5" customHeight="1" outlineLevel="2" x14ac:dyDescent="0.25">
      <c r="A13" s="248" t="s">
        <v>139</v>
      </c>
      <c r="B13" s="581">
        <f>+'Citizens-Griffith'!D41</f>
        <v>41478.14</v>
      </c>
      <c r="C13" s="366">
        <f>+B13/$G$4</f>
        <v>16725.056451612902</v>
      </c>
      <c r="D13" s="14">
        <f>+'Citizens-Griffith'!D48</f>
        <v>24844</v>
      </c>
      <c r="E13" s="70">
        <f>+C13-D13</f>
        <v>-8118.9435483870984</v>
      </c>
      <c r="F13" s="362">
        <f>+'Citizens-Griffith'!A41</f>
        <v>37325</v>
      </c>
      <c r="G13" s="203" t="s">
        <v>299</v>
      </c>
      <c r="H13" s="32" t="s">
        <v>99</v>
      </c>
      <c r="I13" s="32"/>
      <c r="J13" s="32"/>
      <c r="K13" s="32"/>
    </row>
    <row r="14" spans="1:32" ht="13.5" customHeight="1" outlineLevel="2" x14ac:dyDescent="0.25">
      <c r="A14" s="248" t="s">
        <v>276</v>
      </c>
      <c r="B14" s="587">
        <f>+SWGasTrans!D41</f>
        <v>-11927.84</v>
      </c>
      <c r="C14" s="366">
        <f>+B14/G4</f>
        <v>-4809.6129032258068</v>
      </c>
      <c r="D14" s="14">
        <f>+SWGasTrans!$D$48</f>
        <v>6948</v>
      </c>
      <c r="E14" s="70">
        <f>+C14-D14</f>
        <v>-11757.612903225807</v>
      </c>
      <c r="F14" s="362">
        <f>+SWGasTrans!A41</f>
        <v>37325</v>
      </c>
      <c r="G14" s="203" t="s">
        <v>152</v>
      </c>
      <c r="H14" s="32" t="s">
        <v>99</v>
      </c>
      <c r="I14" s="32"/>
      <c r="J14" s="32"/>
      <c r="K14" s="32"/>
    </row>
    <row r="15" spans="1:32" ht="13.5" customHeight="1" outlineLevel="2" x14ac:dyDescent="0.25">
      <c r="A15" s="248" t="s">
        <v>133</v>
      </c>
      <c r="B15" s="344">
        <f>+'NS Steel'!D41</f>
        <v>-249702.26</v>
      </c>
      <c r="C15" s="366">
        <f>+B15/$G$4</f>
        <v>-100686.39516129033</v>
      </c>
      <c r="D15" s="14">
        <f>+'NS Steel'!D50</f>
        <v>5777</v>
      </c>
      <c r="E15" s="70">
        <f>+C15-D15</f>
        <v>-106463.39516129033</v>
      </c>
      <c r="F15" s="363">
        <f>+'NS Steel'!A41</f>
        <v>37326</v>
      </c>
      <c r="G15" s="203" t="s">
        <v>153</v>
      </c>
      <c r="H15" s="32" t="s">
        <v>100</v>
      </c>
      <c r="I15" s="32" t="s">
        <v>176</v>
      </c>
      <c r="J15" s="32"/>
      <c r="K15" s="32"/>
    </row>
    <row r="16" spans="1:32" ht="13.5" customHeight="1" outlineLevel="1" x14ac:dyDescent="0.25">
      <c r="A16" s="497" t="s">
        <v>135</v>
      </c>
      <c r="B16" s="347">
        <f>+Citizens!D18</f>
        <v>-588382.12999999989</v>
      </c>
      <c r="C16" s="368">
        <f>+B16/$G$4</f>
        <v>-237250.8588709677</v>
      </c>
      <c r="D16" s="348">
        <f>+Citizens!D24</f>
        <v>-60166</v>
      </c>
      <c r="E16" s="72">
        <f>+C16-D16</f>
        <v>-177084.8588709677</v>
      </c>
      <c r="F16" s="362">
        <f>+Citizens!A18</f>
        <v>37325</v>
      </c>
      <c r="G16" s="203" t="s">
        <v>299</v>
      </c>
      <c r="H16" s="204" t="s">
        <v>99</v>
      </c>
      <c r="I16" s="417" t="s">
        <v>175</v>
      </c>
      <c r="J16" s="32"/>
      <c r="K16" s="32"/>
      <c r="T16" s="259"/>
    </row>
    <row r="17" spans="1:20" ht="15.9" customHeight="1" outlineLevel="2" x14ac:dyDescent="0.25">
      <c r="A17" s="153" t="s">
        <v>155</v>
      </c>
      <c r="B17" s="386">
        <f>SUBTOTAL(9,B12:B16)</f>
        <v>-798809.23999999987</v>
      </c>
      <c r="C17" s="391">
        <f>SUBTOTAL(9,C12:C16)</f>
        <v>-322100.5</v>
      </c>
      <c r="D17" s="392">
        <f>SUBTOTAL(9,D12:D16)</f>
        <v>69497</v>
      </c>
      <c r="E17" s="393">
        <f>SUBTOTAL(9,E12:E16)</f>
        <v>-391597.49999999994</v>
      </c>
      <c r="F17" s="362"/>
      <c r="G17" s="203"/>
      <c r="H17" s="204"/>
      <c r="I17" s="350"/>
      <c r="J17" s="32"/>
      <c r="K17" s="32"/>
      <c r="T17" s="259"/>
    </row>
    <row r="18" spans="1:20" ht="9.9" customHeight="1" outlineLevel="2" x14ac:dyDescent="0.25">
      <c r="G18" s="7"/>
    </row>
    <row r="19" spans="1:20" ht="15.9" customHeight="1" outlineLevel="2" x14ac:dyDescent="0.25">
      <c r="A19" s="395" t="s">
        <v>57</v>
      </c>
      <c r="G19" s="7"/>
    </row>
    <row r="20" spans="1:20" ht="13.5" customHeight="1" outlineLevel="2" x14ac:dyDescent="0.25">
      <c r="A20" s="248" t="s">
        <v>71</v>
      </c>
      <c r="B20" s="586">
        <f>+transcol!$D$43</f>
        <v>15366.27</v>
      </c>
      <c r="C20" s="366">
        <f>+B20/$G$4</f>
        <v>6196.0766129032263</v>
      </c>
      <c r="D20" s="14">
        <f>+transcol!D50</f>
        <v>-48033</v>
      </c>
      <c r="E20" s="70">
        <f>+C20-D20</f>
        <v>54229.076612903227</v>
      </c>
      <c r="F20" s="363">
        <f>+transcol!A43</f>
        <v>37325</v>
      </c>
      <c r="G20" s="203" t="s">
        <v>152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5">
      <c r="A21" s="497" t="s">
        <v>288</v>
      </c>
      <c r="B21" s="586">
        <f>+C21*G3</f>
        <v>50510.159999999996</v>
      </c>
      <c r="C21" s="366">
        <f>+williams!J40</f>
        <v>20367</v>
      </c>
      <c r="D21" s="14">
        <f>+C21</f>
        <v>20367</v>
      </c>
      <c r="E21" s="70">
        <f>+C21-D21</f>
        <v>0</v>
      </c>
      <c r="F21" s="363">
        <f>+williams!A40</f>
        <v>37326</v>
      </c>
      <c r="G21" s="203" t="s">
        <v>153</v>
      </c>
      <c r="H21" s="32" t="s">
        <v>289</v>
      </c>
      <c r="I21" s="32"/>
      <c r="J21" s="32"/>
      <c r="K21" s="32"/>
      <c r="T21" s="259"/>
    </row>
    <row r="22" spans="1:20" ht="13.5" customHeight="1" outlineLevel="2" x14ac:dyDescent="0.25">
      <c r="A22" s="497" t="s">
        <v>95</v>
      </c>
      <c r="B22" s="588">
        <f>+burlington!D42</f>
        <v>-7276.0700000000006</v>
      </c>
      <c r="C22" s="370">
        <f>+B22/$G$3</f>
        <v>-2933.8991935483873</v>
      </c>
      <c r="D22" s="348">
        <f>+burlington!D49</f>
        <v>-4341</v>
      </c>
      <c r="E22" s="72">
        <f>+C22-D22</f>
        <v>1407.1008064516127</v>
      </c>
      <c r="F22" s="362">
        <f>+burlington!A42</f>
        <v>37325</v>
      </c>
      <c r="G22" s="203" t="s">
        <v>153</v>
      </c>
      <c r="H22" s="32" t="s">
        <v>113</v>
      </c>
      <c r="I22" s="32" t="s">
        <v>143</v>
      </c>
      <c r="J22" s="32"/>
      <c r="K22" s="32"/>
    </row>
    <row r="23" spans="1:20" ht="15.9" customHeight="1" outlineLevel="2" x14ac:dyDescent="0.25">
      <c r="A23" s="153" t="s">
        <v>157</v>
      </c>
      <c r="B23" s="386">
        <f>SUBTOTAL(9,B20:B22)</f>
        <v>58600.359999999993</v>
      </c>
      <c r="C23" s="387">
        <f>SUBTOTAL(9,C20:C22)</f>
        <v>23629.177419354841</v>
      </c>
      <c r="D23" s="392">
        <f>SUBTOTAL(9,D20:D22)</f>
        <v>-32007</v>
      </c>
      <c r="E23" s="393">
        <f>SUBTOTAL(9,E20:E22)</f>
        <v>55636.177419354841</v>
      </c>
      <c r="F23" s="362"/>
      <c r="G23" s="32"/>
      <c r="H23" s="32"/>
      <c r="I23" s="32"/>
      <c r="J23" s="32"/>
      <c r="K23" s="32"/>
    </row>
    <row r="24" spans="1:20" ht="9.9" customHeight="1" outlineLevel="2" x14ac:dyDescent="0.25"/>
    <row r="25" spans="1:20" ht="15.9" customHeight="1" outlineLevel="2" x14ac:dyDescent="0.25">
      <c r="A25" s="364" t="s">
        <v>158</v>
      </c>
      <c r="B25" s="421"/>
      <c r="C25" s="422"/>
      <c r="D25" s="423"/>
      <c r="E25" s="423"/>
      <c r="F25" s="423"/>
      <c r="G25" s="424"/>
      <c r="H25" s="423"/>
      <c r="I25" s="423"/>
    </row>
    <row r="26" spans="1:20" ht="15.9" customHeight="1" outlineLevel="2" x14ac:dyDescent="0.25">
      <c r="A26" s="497" t="s">
        <v>87</v>
      </c>
      <c r="B26" s="590">
        <f>+NNG!$D$24</f>
        <v>41456</v>
      </c>
      <c r="C26" s="366">
        <f>+B26/$G$4</f>
        <v>16716.129032258064</v>
      </c>
      <c r="D26" s="14">
        <f>+NNG!D34</f>
        <v>18458</v>
      </c>
      <c r="E26" s="70">
        <f t="shared" ref="E26:E48" si="0">+C26-D26</f>
        <v>-1741.8709677419356</v>
      </c>
      <c r="F26" s="362">
        <f>+NNG!A24</f>
        <v>37326</v>
      </c>
      <c r="G26" s="204" t="s">
        <v>298</v>
      </c>
      <c r="H26" s="204" t="s">
        <v>100</v>
      </c>
      <c r="I26" s="32"/>
      <c r="J26" s="32"/>
      <c r="K26" s="32"/>
    </row>
    <row r="27" spans="1:20" ht="13.5" customHeight="1" outlineLevel="2" x14ac:dyDescent="0.25">
      <c r="A27" s="248" t="s">
        <v>80</v>
      </c>
      <c r="B27" s="590">
        <f>+Conoco!$F$41</f>
        <v>411860.13</v>
      </c>
      <c r="C27" s="366">
        <f>+B27/$G$4</f>
        <v>166072.63306451612</v>
      </c>
      <c r="D27" s="14">
        <f>+Conoco!D48</f>
        <v>709</v>
      </c>
      <c r="E27" s="70">
        <f t="shared" si="0"/>
        <v>165363.63306451612</v>
      </c>
      <c r="F27" s="362">
        <f>+Conoco!A41</f>
        <v>37326</v>
      </c>
      <c r="G27" s="32" t="s">
        <v>299</v>
      </c>
      <c r="H27" s="32" t="s">
        <v>113</v>
      </c>
      <c r="I27" s="32" t="s">
        <v>171</v>
      </c>
      <c r="J27" s="32"/>
      <c r="K27" s="32"/>
    </row>
    <row r="28" spans="1:20" ht="13.5" customHeight="1" outlineLevel="2" x14ac:dyDescent="0.25">
      <c r="A28" s="248" t="s">
        <v>3</v>
      </c>
      <c r="B28" s="590">
        <f>+'Amoco Abo'!$F$43</f>
        <v>237281.22999999998</v>
      </c>
      <c r="C28" s="366">
        <f>+B28/$G$4</f>
        <v>95677.915322580637</v>
      </c>
      <c r="D28" s="14">
        <f>+'Amoco Abo'!D49</f>
        <v>-332219</v>
      </c>
      <c r="E28" s="70">
        <f t="shared" si="0"/>
        <v>427896.91532258061</v>
      </c>
      <c r="F28" s="363">
        <f>+'Amoco Abo'!A43</f>
        <v>37326</v>
      </c>
      <c r="G28" s="203" t="s">
        <v>152</v>
      </c>
      <c r="H28" s="32" t="s">
        <v>115</v>
      </c>
      <c r="I28" s="32" t="s">
        <v>172</v>
      </c>
      <c r="J28" s="32"/>
      <c r="K28" s="32"/>
    </row>
    <row r="29" spans="1:20" ht="13.5" customHeight="1" outlineLevel="2" x14ac:dyDescent="0.25">
      <c r="A29" s="248" t="s">
        <v>107</v>
      </c>
      <c r="B29" s="590">
        <f>+KN_Westar!F41</f>
        <v>329320.86</v>
      </c>
      <c r="C29" s="366">
        <f>+B29/$G$4</f>
        <v>132790.6693548387</v>
      </c>
      <c r="D29" s="14">
        <f>+KN_Westar!D48</f>
        <v>-38076</v>
      </c>
      <c r="E29" s="70">
        <f t="shared" si="0"/>
        <v>170866.6693548387</v>
      </c>
      <c r="F29" s="363">
        <f>+KN_Westar!A41</f>
        <v>37317</v>
      </c>
      <c r="G29" s="203" t="s">
        <v>153</v>
      </c>
      <c r="H29" s="32" t="s">
        <v>100</v>
      </c>
      <c r="I29" s="32"/>
      <c r="J29" s="32"/>
      <c r="K29" s="32"/>
    </row>
    <row r="30" spans="1:20" ht="13.5" customHeight="1" outlineLevel="2" x14ac:dyDescent="0.25">
      <c r="A30" s="497" t="s">
        <v>246</v>
      </c>
      <c r="B30" s="581">
        <f>+Duke!B83</f>
        <v>-108353.44000000018</v>
      </c>
      <c r="C30" s="367">
        <f>+B30/$G$5</f>
        <v>-43515.437751004087</v>
      </c>
      <c r="D30" s="14">
        <f>+DEFS!$I$36+DEFS!$J$36+DEFS!$K$45+DEFS!$K$46+DEFS!$K$47+DEFS!$K$48+Duke!I53+Duke!I54+Duke!F40+Duke!G40+Duke!H40</f>
        <v>274550</v>
      </c>
      <c r="E30" s="70">
        <f t="shared" si="0"/>
        <v>-318065.43775100406</v>
      </c>
      <c r="F30" s="363">
        <f>+DEFS!A40</f>
        <v>37323</v>
      </c>
      <c r="G30" s="203" t="s">
        <v>152</v>
      </c>
      <c r="H30" s="32" t="s">
        <v>100</v>
      </c>
      <c r="I30" s="32" t="s">
        <v>118</v>
      </c>
      <c r="J30" s="32"/>
      <c r="K30" s="32"/>
    </row>
    <row r="31" spans="1:20" ht="13.5" customHeight="1" outlineLevel="1" x14ac:dyDescent="0.25">
      <c r="A31" s="248" t="s">
        <v>2</v>
      </c>
      <c r="B31" s="581">
        <f>+mewborne!$J$43</f>
        <v>315959.76</v>
      </c>
      <c r="C31" s="366">
        <f>+B31/$G$4</f>
        <v>127403.12903225808</v>
      </c>
      <c r="D31" s="14">
        <f>+mewborne!D49</f>
        <v>124143</v>
      </c>
      <c r="E31" s="70">
        <f t="shared" si="0"/>
        <v>3260.1290322580753</v>
      </c>
      <c r="F31" s="363">
        <f>+mewborne!A43</f>
        <v>37326</v>
      </c>
      <c r="G31" s="203" t="s">
        <v>153</v>
      </c>
      <c r="H31" s="32" t="s">
        <v>99</v>
      </c>
      <c r="I31" s="32"/>
      <c r="J31" s="32"/>
      <c r="K31" s="32"/>
    </row>
    <row r="32" spans="1:20" ht="13.5" customHeight="1" x14ac:dyDescent="0.25">
      <c r="A32" s="248" t="s">
        <v>146</v>
      </c>
      <c r="B32" s="477">
        <f>+PGETX!$H$39</f>
        <v>52580.800000000003</v>
      </c>
      <c r="C32" s="366">
        <f>+B32/$G$4</f>
        <v>21201.93548387097</v>
      </c>
      <c r="D32" s="14">
        <f>+PGETX!E48</f>
        <v>51521</v>
      </c>
      <c r="E32" s="70">
        <f t="shared" si="0"/>
        <v>-30319.06451612903</v>
      </c>
      <c r="F32" s="363">
        <f>+PGETX!E39</f>
        <v>37325</v>
      </c>
      <c r="G32" s="32" t="s">
        <v>300</v>
      </c>
      <c r="H32" s="32" t="s">
        <v>102</v>
      </c>
      <c r="I32" s="32" t="s">
        <v>174</v>
      </c>
      <c r="J32" s="32"/>
      <c r="K32" s="32"/>
    </row>
    <row r="33" spans="1:11" ht="14.1" customHeight="1" x14ac:dyDescent="0.25">
      <c r="A33" s="248" t="s">
        <v>82</v>
      </c>
      <c r="B33" s="581">
        <f>+PNM!$D$23</f>
        <v>732808.44</v>
      </c>
      <c r="C33" s="366">
        <f>+B33/$G$4</f>
        <v>295487.27419354836</v>
      </c>
      <c r="D33" s="14">
        <f>+PNM!D30</f>
        <v>301091</v>
      </c>
      <c r="E33" s="70">
        <f t="shared" si="0"/>
        <v>-5603.7258064516354</v>
      </c>
      <c r="F33" s="363">
        <f>+PNM!A23</f>
        <v>37326</v>
      </c>
      <c r="G33" s="32" t="s">
        <v>298</v>
      </c>
      <c r="H33" s="32" t="s">
        <v>115</v>
      </c>
      <c r="I33" s="32"/>
      <c r="J33" s="32"/>
      <c r="K33" s="32"/>
    </row>
    <row r="34" spans="1:11" ht="14.1" customHeight="1" x14ac:dyDescent="0.25">
      <c r="A34" s="32" t="s">
        <v>103</v>
      </c>
      <c r="B34" s="590">
        <f>+EOG!J41</f>
        <v>-28926.989999999998</v>
      </c>
      <c r="C34" s="366">
        <f>+B34/$G$4</f>
        <v>-11664.108870967741</v>
      </c>
      <c r="D34" s="14">
        <f>+EOG!D48</f>
        <v>-136950</v>
      </c>
      <c r="E34" s="70">
        <f t="shared" si="0"/>
        <v>125285.89112903226</v>
      </c>
      <c r="F34" s="362">
        <f>+EOG!A41</f>
        <v>37325</v>
      </c>
      <c r="G34" s="32" t="s">
        <v>298</v>
      </c>
      <c r="H34" s="32" t="s">
        <v>102</v>
      </c>
      <c r="I34" s="32"/>
      <c r="J34" s="32"/>
      <c r="K34" s="32"/>
    </row>
    <row r="35" spans="1:11" ht="14.1" customHeight="1" x14ac:dyDescent="0.25">
      <c r="A35" s="248" t="s">
        <v>6</v>
      </c>
      <c r="B35" s="590">
        <f>+Oasis!D40</f>
        <v>93925.53</v>
      </c>
      <c r="C35" s="366">
        <f>+B35/G5</f>
        <v>37721.096385542165</v>
      </c>
      <c r="D35" s="14">
        <f>+Oasis!D47</f>
        <v>42617</v>
      </c>
      <c r="E35" s="70">
        <f>+C35-D35</f>
        <v>-4895.9036144578349</v>
      </c>
      <c r="F35" s="362">
        <f>+Oasis!A40</f>
        <v>37325</v>
      </c>
      <c r="G35" s="203" t="s">
        <v>153</v>
      </c>
      <c r="H35" s="32" t="s">
        <v>102</v>
      </c>
      <c r="I35" s="32"/>
      <c r="J35" s="32"/>
      <c r="K35" s="32"/>
    </row>
    <row r="36" spans="1:11" ht="14.1" customHeight="1" x14ac:dyDescent="0.25">
      <c r="A36" s="248" t="s">
        <v>131</v>
      </c>
      <c r="B36" s="590">
        <f>+SidR!D41</f>
        <v>6104.6399999999994</v>
      </c>
      <c r="C36" s="366">
        <f>+B36/$G$5</f>
        <v>2451.662650602409</v>
      </c>
      <c r="D36" s="14">
        <f>+SidR!D48</f>
        <v>2912</v>
      </c>
      <c r="E36" s="70">
        <f t="shared" si="0"/>
        <v>-460.33734939759097</v>
      </c>
      <c r="F36" s="363">
        <f>+SidR!A41</f>
        <v>37326</v>
      </c>
      <c r="G36" s="203" t="s">
        <v>151</v>
      </c>
      <c r="H36" s="32" t="s">
        <v>102</v>
      </c>
      <c r="I36" s="32"/>
      <c r="J36" s="32"/>
      <c r="K36" s="32"/>
    </row>
    <row r="37" spans="1:11" ht="14.1" customHeight="1" x14ac:dyDescent="0.25">
      <c r="A37" s="497" t="s">
        <v>256</v>
      </c>
      <c r="B37" s="587">
        <f>+MiVida_Rich!D41</f>
        <v>-191635</v>
      </c>
      <c r="C37" s="366">
        <f>+B37/$G$5</f>
        <v>-76961.847389558228</v>
      </c>
      <c r="D37" s="14">
        <f>+MiVida_Rich!D48</f>
        <v>-45642</v>
      </c>
      <c r="E37" s="70">
        <f>+C37-D37</f>
        <v>-31319.847389558228</v>
      </c>
      <c r="F37" s="363">
        <f>+MiVida_Rich!A41</f>
        <v>37315</v>
      </c>
      <c r="G37" s="203" t="s">
        <v>151</v>
      </c>
      <c r="H37" s="32" t="s">
        <v>102</v>
      </c>
      <c r="I37" s="32"/>
      <c r="J37" s="32"/>
      <c r="K37" s="32"/>
    </row>
    <row r="38" spans="1:11" ht="14.1" customHeight="1" x14ac:dyDescent="0.25">
      <c r="A38" s="248" t="s">
        <v>206</v>
      </c>
      <c r="B38" s="581">
        <f>+Dominion!D41</f>
        <v>170917.77000000002</v>
      </c>
      <c r="C38" s="366">
        <f>+B38/$G$5</f>
        <v>68641.674698795177</v>
      </c>
      <c r="D38" s="14">
        <f>+Dominion!D48</f>
        <v>74727</v>
      </c>
      <c r="E38" s="70">
        <f t="shared" si="0"/>
        <v>-6085.3253012048226</v>
      </c>
      <c r="F38" s="363">
        <f>+Dominion!A41</f>
        <v>37325</v>
      </c>
      <c r="G38" s="203" t="s">
        <v>298</v>
      </c>
      <c r="H38" s="32" t="s">
        <v>99</v>
      </c>
      <c r="I38" s="32"/>
      <c r="J38" s="32"/>
      <c r="K38" s="32"/>
    </row>
    <row r="39" spans="1:11" ht="14.1" customHeight="1" x14ac:dyDescent="0.25">
      <c r="A39" s="248" t="s">
        <v>203</v>
      </c>
      <c r="B39" s="587">
        <f>+WTGmktg!J43</f>
        <v>-19880.599999999999</v>
      </c>
      <c r="C39" s="366">
        <f>+B39/$G$4</f>
        <v>-8016.3709677419347</v>
      </c>
      <c r="D39" s="14">
        <f>+WTGmktg!D50</f>
        <v>3410</v>
      </c>
      <c r="E39" s="70">
        <f t="shared" si="0"/>
        <v>-11426.370967741936</v>
      </c>
      <c r="F39" s="363">
        <f>+WTGmktg!A43</f>
        <v>37323</v>
      </c>
      <c r="G39" s="203" t="s">
        <v>152</v>
      </c>
      <c r="H39" s="32" t="s">
        <v>115</v>
      </c>
      <c r="I39" s="32"/>
      <c r="J39" s="32"/>
      <c r="K39" s="32"/>
    </row>
    <row r="40" spans="1:11" ht="14.1" customHeight="1" x14ac:dyDescent="0.25">
      <c r="A40" s="248" t="s">
        <v>279</v>
      </c>
      <c r="B40" s="344">
        <f>+'WTG inc'!N43</f>
        <v>16899.329999999998</v>
      </c>
      <c r="C40" s="366">
        <f>+B40/G4</f>
        <v>6814.2459677419347</v>
      </c>
      <c r="D40" s="14">
        <f>+'WTG inc'!D50</f>
        <v>4813</v>
      </c>
      <c r="E40" s="70">
        <f>+C40-D40</f>
        <v>2001.2459677419347</v>
      </c>
      <c r="F40" s="363">
        <f>+'WTG inc'!A43</f>
        <v>37323</v>
      </c>
      <c r="G40" s="203" t="s">
        <v>152</v>
      </c>
      <c r="H40" s="32" t="s">
        <v>115</v>
      </c>
      <c r="I40" s="32"/>
      <c r="J40" s="32"/>
      <c r="K40" s="32"/>
    </row>
    <row r="41" spans="1:11" ht="13.5" customHeight="1" x14ac:dyDescent="0.25">
      <c r="A41" s="248" t="s">
        <v>207</v>
      </c>
      <c r="B41" s="587">
        <f>+Devon!D41</f>
        <v>10665.810000000001</v>
      </c>
      <c r="C41" s="366">
        <f>+B41/$G$5</f>
        <v>4283.4578313253014</v>
      </c>
      <c r="D41" s="14">
        <f>+Devon!D48</f>
        <v>4356</v>
      </c>
      <c r="E41" s="70">
        <f t="shared" si="0"/>
        <v>-72.542168674698587</v>
      </c>
      <c r="F41" s="363">
        <f>+Devon!A41</f>
        <v>37325</v>
      </c>
      <c r="G41" s="203" t="s">
        <v>299</v>
      </c>
      <c r="H41" s="32" t="s">
        <v>99</v>
      </c>
      <c r="I41" s="32"/>
      <c r="J41" s="32"/>
      <c r="K41" s="32"/>
    </row>
    <row r="42" spans="1:11" ht="13.5" customHeight="1" x14ac:dyDescent="0.25">
      <c r="A42" s="248" t="s">
        <v>216</v>
      </c>
      <c r="B42" s="344">
        <f>+crosstex!F41</f>
        <v>-120523.6</v>
      </c>
      <c r="C42" s="366">
        <f>+B42/$G$4</f>
        <v>-48598.225806451614</v>
      </c>
      <c r="D42" s="14">
        <f>+crosstex!D48</f>
        <v>-34765</v>
      </c>
      <c r="E42" s="70">
        <f t="shared" si="0"/>
        <v>-13833.225806451614</v>
      </c>
      <c r="F42" s="363">
        <f>+crosstex!A41</f>
        <v>37323</v>
      </c>
      <c r="G42" s="203" t="s">
        <v>151</v>
      </c>
      <c r="H42" s="32" t="s">
        <v>100</v>
      </c>
      <c r="I42" s="32"/>
      <c r="J42" s="32"/>
      <c r="K42" s="32"/>
    </row>
    <row r="43" spans="1:11" ht="13.5" customHeight="1" x14ac:dyDescent="0.25">
      <c r="A43" s="248" t="s">
        <v>217</v>
      </c>
      <c r="B43" s="581">
        <f>+Amarillo!P41</f>
        <v>127498.97</v>
      </c>
      <c r="C43" s="366">
        <f>+B43/$G$4</f>
        <v>51410.875</v>
      </c>
      <c r="D43" s="14">
        <f>+Amarillo!D48</f>
        <v>53521</v>
      </c>
      <c r="E43" s="70">
        <f t="shared" si="0"/>
        <v>-2110.125</v>
      </c>
      <c r="F43" s="363">
        <f>+Amarillo!A41</f>
        <v>37324</v>
      </c>
      <c r="G43" s="203" t="s">
        <v>299</v>
      </c>
      <c r="H43" s="32" t="s">
        <v>113</v>
      </c>
      <c r="I43" s="32"/>
      <c r="J43" s="32"/>
      <c r="K43" s="32"/>
    </row>
    <row r="44" spans="1:11" ht="13.5" customHeight="1" x14ac:dyDescent="0.25">
      <c r="A44" s="248" t="s">
        <v>294</v>
      </c>
      <c r="B44" s="581">
        <f>+Stratland!$D$41</f>
        <v>69765.440000000002</v>
      </c>
      <c r="C44" s="367">
        <f>+B44/$G$4</f>
        <v>28131.225806451614</v>
      </c>
      <c r="D44" s="14">
        <f>+Stratland!D48</f>
        <v>27486</v>
      </c>
      <c r="E44" s="70">
        <f>+C44-D44</f>
        <v>645.22580645161361</v>
      </c>
      <c r="F44" s="362">
        <f>+Stratland!A41</f>
        <v>37315</v>
      </c>
      <c r="G44" s="203" t="s">
        <v>298</v>
      </c>
      <c r="H44" s="32" t="s">
        <v>102</v>
      </c>
      <c r="I44" s="32"/>
      <c r="J44" s="32"/>
      <c r="K44" s="32"/>
    </row>
    <row r="45" spans="1:11" ht="13.5" customHeight="1" x14ac:dyDescent="0.25">
      <c r="A45" s="248" t="s">
        <v>305</v>
      </c>
      <c r="B45" s="581">
        <f>+Plains!$N$43</f>
        <v>66185.02</v>
      </c>
      <c r="C45" s="584">
        <f>+B45/$G$4</f>
        <v>26687.508064516132</v>
      </c>
      <c r="D45" s="14">
        <f>+Plains!D50</f>
        <v>23662</v>
      </c>
      <c r="E45" s="70">
        <f>+C45-D45</f>
        <v>3025.5080645161324</v>
      </c>
      <c r="F45" s="362">
        <f>+Plains!A43</f>
        <v>37315</v>
      </c>
      <c r="G45" s="203"/>
      <c r="H45" s="32" t="s">
        <v>100</v>
      </c>
      <c r="I45" s="32"/>
      <c r="J45" s="32"/>
      <c r="K45" s="32"/>
    </row>
    <row r="46" spans="1:11" ht="13.5" customHeight="1" x14ac:dyDescent="0.25">
      <c r="A46" s="248" t="s">
        <v>109</v>
      </c>
      <c r="B46" s="581">
        <f>+Continental!F43</f>
        <v>59434.94</v>
      </c>
      <c r="C46" s="367">
        <f>+B46/$G$4</f>
        <v>23965.701612903227</v>
      </c>
      <c r="D46" s="14">
        <f>+Continental!D50</f>
        <v>8656</v>
      </c>
      <c r="E46" s="70">
        <f t="shared" si="0"/>
        <v>15309.701612903227</v>
      </c>
      <c r="F46" s="363">
        <f>+Continental!A43</f>
        <v>37324</v>
      </c>
      <c r="G46" s="203" t="s">
        <v>153</v>
      </c>
      <c r="H46" s="32" t="s">
        <v>115</v>
      </c>
      <c r="I46" s="32"/>
      <c r="J46" s="32"/>
      <c r="K46" s="32"/>
    </row>
    <row r="47" spans="1:11" ht="13.5" customHeight="1" x14ac:dyDescent="0.25">
      <c r="A47" s="248" t="s">
        <v>129</v>
      </c>
      <c r="B47" s="581">
        <f>+EPFS!D41</f>
        <v>143035.17000000001</v>
      </c>
      <c r="C47" s="367">
        <f>+B47/$G$5</f>
        <v>57443.843373493975</v>
      </c>
      <c r="D47" s="14">
        <f>+EPFS!D47</f>
        <v>83775</v>
      </c>
      <c r="E47" s="70">
        <f t="shared" si="0"/>
        <v>-26331.156626506025</v>
      </c>
      <c r="F47" s="362">
        <f>+EPFS!A41</f>
        <v>37326</v>
      </c>
      <c r="G47" s="203" t="s">
        <v>153</v>
      </c>
      <c r="H47" s="32" t="s">
        <v>102</v>
      </c>
      <c r="I47" s="32"/>
      <c r="J47" s="32"/>
      <c r="K47" s="32"/>
    </row>
    <row r="48" spans="1:11" ht="12.9" customHeight="1" x14ac:dyDescent="0.25">
      <c r="A48" s="497" t="s">
        <v>79</v>
      </c>
      <c r="B48" s="583">
        <f>+Agave!$D$25</f>
        <v>133281.11000000002</v>
      </c>
      <c r="C48" s="368">
        <f>+B48/$G$4</f>
        <v>53742.383064516136</v>
      </c>
      <c r="D48" s="348">
        <f>+Agave!D31</f>
        <v>69303</v>
      </c>
      <c r="E48" s="72">
        <f t="shared" si="0"/>
        <v>-15560.616935483864</v>
      </c>
      <c r="F48" s="362">
        <f>+Agave!A25</f>
        <v>37326</v>
      </c>
      <c r="G48" s="203" t="s">
        <v>299</v>
      </c>
      <c r="H48" s="204" t="s">
        <v>102</v>
      </c>
      <c r="I48" s="32"/>
      <c r="J48" s="32"/>
      <c r="K48" s="32"/>
    </row>
    <row r="49" spans="1:19" ht="17.100000000000001" customHeight="1" x14ac:dyDescent="0.25">
      <c r="A49" s="153" t="s">
        <v>160</v>
      </c>
      <c r="B49" s="386">
        <f>SUBTOTAL(9,B26:B48)</f>
        <v>2549661.3199999994</v>
      </c>
      <c r="C49" s="391">
        <f>SUBTOTAL(9,C26:C48)</f>
        <v>1027887.3691540355</v>
      </c>
      <c r="D49" s="392">
        <f>SUBTOTAL(9,D26:D48)</f>
        <v>582058</v>
      </c>
      <c r="E49" s="393">
        <f>SUBTOTAL(9,E26:E48)</f>
        <v>445829.36915403535</v>
      </c>
      <c r="F49" s="362"/>
      <c r="G49" s="351"/>
      <c r="H49" s="32"/>
      <c r="I49" s="204"/>
      <c r="J49" s="32"/>
      <c r="K49" s="32"/>
      <c r="L49" s="32"/>
    </row>
    <row r="50" spans="1:19" ht="12" customHeight="1" x14ac:dyDescent="0.25">
      <c r="A50" s="204"/>
      <c r="H50" s="32"/>
      <c r="I50" s="204"/>
      <c r="J50" s="32"/>
      <c r="K50" s="32"/>
      <c r="L50" s="32"/>
    </row>
    <row r="51" spans="1:19" ht="17.100000000000001" customHeight="1" x14ac:dyDescent="0.25">
      <c r="A51" s="153" t="s">
        <v>161</v>
      </c>
      <c r="B51" s="386">
        <f>SUBTOTAL(9,B12:B48)</f>
        <v>1809452.4399999997</v>
      </c>
      <c r="C51" s="391">
        <f>SUBTOTAL(9,C12:C48)</f>
        <v>729416.04657339037</v>
      </c>
      <c r="D51" s="392">
        <f>SUBTOTAL(9,D12:D48)</f>
        <v>619548</v>
      </c>
      <c r="E51" s="393">
        <f>SUBTOTAL(9,E12:E48)</f>
        <v>109868.04657339025</v>
      </c>
      <c r="F51" s="362"/>
      <c r="G51" s="204"/>
      <c r="H51" s="32"/>
      <c r="I51" s="204"/>
      <c r="J51" s="32"/>
      <c r="K51" s="32"/>
      <c r="L51" s="32"/>
    </row>
    <row r="52" spans="1:19" ht="12.9" customHeight="1" x14ac:dyDescent="0.25">
      <c r="A52" s="204"/>
      <c r="B52" s="344"/>
      <c r="C52" s="366"/>
      <c r="D52" s="366"/>
      <c r="E52" s="366"/>
      <c r="F52" s="351"/>
      <c r="G52" s="32"/>
      <c r="I52" s="32"/>
      <c r="J52" s="32"/>
      <c r="K52" s="32"/>
      <c r="L52" s="32"/>
    </row>
    <row r="53" spans="1:19" ht="14.1" customHeight="1" x14ac:dyDescent="0.25"/>
    <row r="54" spans="1:19" ht="12.9" customHeight="1" x14ac:dyDescent="0.25"/>
    <row r="55" spans="1:19" ht="13.5" customHeight="1" x14ac:dyDescent="0.25"/>
    <row r="56" spans="1:19" ht="13.5" customHeight="1" outlineLevel="2" x14ac:dyDescent="0.25">
      <c r="A56" s="34" t="s">
        <v>140</v>
      </c>
      <c r="D56" s="7"/>
      <c r="F56" s="381" t="s">
        <v>78</v>
      </c>
      <c r="G56" s="384"/>
      <c r="H56" s="32"/>
    </row>
    <row r="57" spans="1:19" ht="13.5" customHeight="1" outlineLevel="2" x14ac:dyDescent="0.25">
      <c r="D57" s="7"/>
      <c r="F57" s="382" t="s">
        <v>29</v>
      </c>
      <c r="G57" s="385">
        <f>+summary!G3</f>
        <v>2.48</v>
      </c>
      <c r="H57" s="400">
        <f ca="1">NOW()</f>
        <v>37327.76403622685</v>
      </c>
    </row>
    <row r="58" spans="1:19" ht="13.5" customHeight="1" outlineLevel="2" x14ac:dyDescent="0.25">
      <c r="A58" s="34" t="s">
        <v>144</v>
      </c>
      <c r="C58" s="34" t="s">
        <v>5</v>
      </c>
      <c r="D58" s="7"/>
      <c r="F58" s="383" t="s">
        <v>30</v>
      </c>
      <c r="G58" s="385">
        <f>+summary!G4</f>
        <v>2.48</v>
      </c>
      <c r="H58" s="32"/>
    </row>
    <row r="59" spans="1:19" ht="13.5" customHeight="1" outlineLevel="1" x14ac:dyDescent="0.25">
      <c r="D59" s="7"/>
      <c r="F59" s="382" t="s">
        <v>117</v>
      </c>
      <c r="G59" s="385">
        <f>+summary!G5</f>
        <v>2.4900000000000002</v>
      </c>
      <c r="H59" s="32"/>
    </row>
    <row r="60" spans="1:19" ht="13.5" customHeight="1" outlineLevel="2" x14ac:dyDescent="0.25"/>
    <row r="61" spans="1:19" ht="13.5" customHeight="1" outlineLevel="2" x14ac:dyDescent="0.25">
      <c r="A61" s="398" t="s">
        <v>163</v>
      </c>
      <c r="B61" s="399"/>
      <c r="E61" s="12" t="s">
        <v>196</v>
      </c>
    </row>
    <row r="62" spans="1:19" ht="13.5" customHeight="1" outlineLevel="2" x14ac:dyDescent="0.25">
      <c r="A62" s="32"/>
      <c r="B62" s="401" t="s">
        <v>187</v>
      </c>
      <c r="C62" s="401" t="s">
        <v>194</v>
      </c>
      <c r="D62" s="401" t="s">
        <v>191</v>
      </c>
      <c r="E62" s="12" t="s">
        <v>197</v>
      </c>
      <c r="F62" s="2" t="s">
        <v>147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1:19" ht="13.5" customHeight="1" outlineLevel="2" x14ac:dyDescent="0.25">
      <c r="A63" s="364" t="s">
        <v>89</v>
      </c>
      <c r="B63" s="397" t="s">
        <v>0</v>
      </c>
      <c r="C63" s="376" t="s">
        <v>165</v>
      </c>
      <c r="D63" s="39" t="s">
        <v>195</v>
      </c>
      <c r="E63" s="39" t="s">
        <v>198</v>
      </c>
      <c r="F63" s="39" t="s">
        <v>145</v>
      </c>
      <c r="G63" s="388" t="s">
        <v>150</v>
      </c>
      <c r="H63" s="365" t="s">
        <v>101</v>
      </c>
      <c r="I63" s="364" t="s">
        <v>98</v>
      </c>
      <c r="J63" s="32"/>
      <c r="K63" s="32"/>
      <c r="L63" s="32"/>
      <c r="N63" s="32"/>
      <c r="O63" s="32"/>
      <c r="P63" s="32"/>
      <c r="Q63" s="32"/>
      <c r="R63" s="32"/>
      <c r="S63" s="32"/>
    </row>
    <row r="64" spans="1:19" ht="13.5" customHeight="1" outlineLevel="2" x14ac:dyDescent="0.25">
      <c r="B64" s="286"/>
      <c r="C64" s="247"/>
    </row>
    <row r="65" spans="1:11" ht="13.5" customHeight="1" outlineLevel="1" x14ac:dyDescent="0.25">
      <c r="A65" s="364" t="s">
        <v>154</v>
      </c>
      <c r="B65" s="286"/>
      <c r="C65" s="247"/>
      <c r="G65" s="203"/>
    </row>
    <row r="66" spans="1:11" ht="13.5" customHeight="1" outlineLevel="2" x14ac:dyDescent="0.25">
      <c r="A66" s="248" t="s">
        <v>94</v>
      </c>
      <c r="B66" s="498">
        <f>+Mojave!D40</f>
        <v>823</v>
      </c>
      <c r="C66" s="581">
        <f>+B66*$I$5</f>
        <v>1892.8999999999999</v>
      </c>
      <c r="D66" s="47">
        <f>+Mojave!D47</f>
        <v>2041.04</v>
      </c>
      <c r="E66" s="47">
        <f>+C66-D66</f>
        <v>-148.1400000000001</v>
      </c>
      <c r="F66" s="363">
        <f>+Mojave!A40</f>
        <v>37325</v>
      </c>
      <c r="G66" s="203" t="s">
        <v>153</v>
      </c>
      <c r="H66" s="32" t="s">
        <v>100</v>
      </c>
      <c r="I66" s="32" t="s">
        <v>168</v>
      </c>
      <c r="J66" s="32"/>
      <c r="K66" s="32"/>
    </row>
    <row r="67" spans="1:11" ht="15" customHeight="1" outlineLevel="2" x14ac:dyDescent="0.25">
      <c r="A67" s="248" t="s">
        <v>32</v>
      </c>
      <c r="B67" s="367">
        <f>+SoCal!F40</f>
        <v>-57931</v>
      </c>
      <c r="C67" s="581">
        <f>+B67*$G$4</f>
        <v>-143668.88</v>
      </c>
      <c r="D67" s="47">
        <f>+SoCal!D47</f>
        <v>-60829.640000000014</v>
      </c>
      <c r="E67" s="47">
        <f>+C67-D67</f>
        <v>-82839.239999999991</v>
      </c>
      <c r="F67" s="363">
        <f>+SoCal!A40</f>
        <v>37326</v>
      </c>
      <c r="G67" s="203" t="s">
        <v>152</v>
      </c>
      <c r="H67" s="32" t="s">
        <v>102</v>
      </c>
      <c r="I67" s="32"/>
      <c r="J67" s="32"/>
      <c r="K67" s="32"/>
    </row>
    <row r="68" spans="1:11" ht="15" customHeight="1" outlineLevel="2" x14ac:dyDescent="0.25">
      <c r="A68" s="248" t="s">
        <v>177</v>
      </c>
      <c r="B68" s="366">
        <f>+'El Paso'!C39</f>
        <v>64269</v>
      </c>
      <c r="C68" s="581">
        <f>+B68*$G$4</f>
        <v>159387.12</v>
      </c>
      <c r="D68" s="47">
        <f>+'El Paso'!C46</f>
        <v>-1582961.01</v>
      </c>
      <c r="E68" s="47">
        <f>+C68-D68</f>
        <v>1742348.13</v>
      </c>
      <c r="F68" s="363">
        <f>+'El Paso'!A39</f>
        <v>37326</v>
      </c>
      <c r="G68" s="418" t="s">
        <v>153</v>
      </c>
      <c r="H68" s="32" t="s">
        <v>100</v>
      </c>
      <c r="I68" s="32" t="s">
        <v>169</v>
      </c>
      <c r="J68" s="32"/>
      <c r="K68" s="32"/>
    </row>
    <row r="69" spans="1:11" ht="15" customHeight="1" outlineLevel="1" x14ac:dyDescent="0.25">
      <c r="A69" s="248" t="s">
        <v>114</v>
      </c>
      <c r="B69" s="368">
        <f>+'PG&amp;E'!D40</f>
        <v>4133</v>
      </c>
      <c r="C69" s="583">
        <f>+B69*$G$4</f>
        <v>10249.84</v>
      </c>
      <c r="D69" s="347">
        <f>+'PG&amp;E'!D47</f>
        <v>-196017.8</v>
      </c>
      <c r="E69" s="347">
        <f>+C69-D69</f>
        <v>206267.63999999998</v>
      </c>
      <c r="F69" s="363">
        <f>+'PG&amp;E'!A40</f>
        <v>37326</v>
      </c>
      <c r="G69" s="203" t="s">
        <v>153</v>
      </c>
      <c r="H69" s="32" t="s">
        <v>102</v>
      </c>
      <c r="I69" s="32"/>
      <c r="J69" s="32"/>
      <c r="K69" s="32"/>
    </row>
    <row r="70" spans="1:11" ht="15" customHeight="1" x14ac:dyDescent="0.25">
      <c r="A70" s="2" t="s">
        <v>155</v>
      </c>
      <c r="B70" s="391">
        <f>SUBTOTAL(9,B66:B69)</f>
        <v>11294</v>
      </c>
      <c r="C70" s="386">
        <f>SUBTOTAL(9,C66:C69)</f>
        <v>27860.979999999985</v>
      </c>
      <c r="D70" s="386">
        <f>SUBTOTAL(9,D66:D69)</f>
        <v>-1837767.4100000001</v>
      </c>
      <c r="E70" s="386">
        <f>SUBTOTAL(9,E66:E69)</f>
        <v>1865628.39</v>
      </c>
      <c r="F70" s="363"/>
      <c r="G70" s="203"/>
      <c r="H70" s="32"/>
      <c r="I70" s="32"/>
      <c r="J70" s="32"/>
      <c r="K70" s="32"/>
    </row>
    <row r="71" spans="1:11" ht="12.9" customHeight="1" x14ac:dyDescent="0.25">
      <c r="B71" s="286"/>
      <c r="C71" s="247"/>
      <c r="G71" s="203"/>
    </row>
    <row r="72" spans="1:11" ht="15" customHeight="1" x14ac:dyDescent="0.25">
      <c r="A72" s="364" t="s">
        <v>57</v>
      </c>
      <c r="B72" s="286"/>
      <c r="C72" s="247"/>
      <c r="G72" s="203"/>
    </row>
    <row r="73" spans="1:11" x14ac:dyDescent="0.25">
      <c r="A73" s="248" t="s">
        <v>23</v>
      </c>
      <c r="B73" s="366">
        <f>+'Red C'!F45</f>
        <v>35049</v>
      </c>
      <c r="C73" s="582">
        <f>+B73*G57</f>
        <v>86921.52</v>
      </c>
      <c r="D73" s="200">
        <f>+'Red C'!D52</f>
        <v>409118.8</v>
      </c>
      <c r="E73" s="47">
        <f>+C73-D73</f>
        <v>-322197.27999999997</v>
      </c>
      <c r="F73" s="362">
        <f>+'Red C'!A45</f>
        <v>37326</v>
      </c>
      <c r="G73" s="203" t="s">
        <v>152</v>
      </c>
      <c r="H73" s="32" t="s">
        <v>115</v>
      </c>
      <c r="I73" s="32"/>
      <c r="J73" s="32"/>
      <c r="K73" s="32"/>
    </row>
    <row r="74" spans="1:11" x14ac:dyDescent="0.25">
      <c r="A74" s="248" t="s">
        <v>287</v>
      </c>
      <c r="B74" s="366">
        <f>+Amoco!D40</f>
        <v>-4273</v>
      </c>
      <c r="C74" s="587">
        <f>+B74*$G$3</f>
        <v>-10597.039999999999</v>
      </c>
      <c r="D74" s="47">
        <f>+Amoco!D47</f>
        <v>329912.44</v>
      </c>
      <c r="E74" s="47">
        <f>+C74-D74</f>
        <v>-340509.48</v>
      </c>
      <c r="F74" s="363">
        <f>+Amoco!A40</f>
        <v>37325</v>
      </c>
      <c r="G74" s="203" t="s">
        <v>152</v>
      </c>
      <c r="H74" s="32" t="s">
        <v>115</v>
      </c>
      <c r="I74" s="32"/>
      <c r="J74" s="32"/>
      <c r="K74" s="32"/>
    </row>
    <row r="75" spans="1:11" x14ac:dyDescent="0.25">
      <c r="A75" s="248" t="s">
        <v>178</v>
      </c>
      <c r="B75" s="366">
        <f>+'El Paso'!E39</f>
        <v>-65103</v>
      </c>
      <c r="C75" s="581">
        <f>+B75*$G$3</f>
        <v>-161455.44</v>
      </c>
      <c r="D75" s="47">
        <f>+'El Paso'!F46</f>
        <v>-657254.01</v>
      </c>
      <c r="E75" s="47">
        <f>+C75-D75</f>
        <v>495798.57</v>
      </c>
      <c r="F75" s="363">
        <f>+'El Paso'!A39</f>
        <v>37326</v>
      </c>
      <c r="G75" s="418" t="s">
        <v>153</v>
      </c>
      <c r="H75" s="32" t="s">
        <v>100</v>
      </c>
      <c r="I75" s="32"/>
      <c r="J75" s="32"/>
      <c r="K75" s="32"/>
    </row>
    <row r="76" spans="1:11" x14ac:dyDescent="0.25">
      <c r="A76" s="248" t="s">
        <v>1</v>
      </c>
      <c r="B76" s="368">
        <f>+NW!$F$41</f>
        <v>-13623</v>
      </c>
      <c r="C76" s="588">
        <f>+B76*$G$3</f>
        <v>-33785.040000000001</v>
      </c>
      <c r="D76" s="347">
        <f>+NW!E49</f>
        <v>-487526.32</v>
      </c>
      <c r="E76" s="347">
        <f>+C76-D76</f>
        <v>453741.28</v>
      </c>
      <c r="F76" s="362">
        <f>+NW!B41</f>
        <v>37325</v>
      </c>
      <c r="G76" s="203" t="s">
        <v>152</v>
      </c>
      <c r="H76" s="32" t="s">
        <v>115</v>
      </c>
      <c r="I76" s="32"/>
      <c r="J76" s="32"/>
      <c r="K76" s="32"/>
    </row>
    <row r="77" spans="1:11" x14ac:dyDescent="0.25">
      <c r="A77" s="32" t="s">
        <v>156</v>
      </c>
      <c r="B77" s="391">
        <f>SUBTOTAL(9,B73:B76)</f>
        <v>-47950</v>
      </c>
      <c r="C77" s="386">
        <f>SUBTOTAL(9,C73:C76)</f>
        <v>-118916</v>
      </c>
      <c r="D77" s="386">
        <f>SUBTOTAL(9,D73:D76)</f>
        <v>-405749.09</v>
      </c>
      <c r="E77" s="386">
        <f>SUBTOTAL(9,E73:E76)</f>
        <v>286833.09000000003</v>
      </c>
      <c r="F77" s="362"/>
      <c r="G77" s="203"/>
      <c r="H77" s="32"/>
      <c r="I77" s="32"/>
      <c r="J77" s="32"/>
      <c r="K77" s="32"/>
    </row>
    <row r="78" spans="1:11" x14ac:dyDescent="0.25">
      <c r="B78" s="286"/>
      <c r="C78" s="247"/>
      <c r="G78" s="203"/>
    </row>
    <row r="79" spans="1:11" x14ac:dyDescent="0.25">
      <c r="A79" s="364" t="s">
        <v>158</v>
      </c>
      <c r="B79" s="286"/>
      <c r="C79" s="247"/>
      <c r="G79" s="203"/>
    </row>
    <row r="80" spans="1:11" x14ac:dyDescent="0.25">
      <c r="A80" s="248" t="s">
        <v>88</v>
      </c>
      <c r="B80" s="366">
        <f>+NGPL!H38</f>
        <v>-63110</v>
      </c>
      <c r="C80" s="581">
        <f>+B80*$G$5</f>
        <v>-157143.90000000002</v>
      </c>
      <c r="D80" s="47">
        <f>+NGPL!D45</f>
        <v>78218.2</v>
      </c>
      <c r="E80" s="47">
        <f>+C80-D80</f>
        <v>-235362.10000000003</v>
      </c>
      <c r="F80" s="363">
        <f>+NGPL!A38</f>
        <v>37324</v>
      </c>
      <c r="G80" s="203" t="s">
        <v>152</v>
      </c>
      <c r="H80" s="32" t="s">
        <v>115</v>
      </c>
      <c r="I80" s="32"/>
      <c r="J80" s="32"/>
      <c r="K80" s="32"/>
    </row>
    <row r="81" spans="1:12" x14ac:dyDescent="0.25">
      <c r="A81" s="248" t="s">
        <v>142</v>
      </c>
      <c r="B81" s="366">
        <f>+PEPL!D41</f>
        <v>7430</v>
      </c>
      <c r="C81" s="582">
        <f>+B81*$G$4</f>
        <v>18426.400000000001</v>
      </c>
      <c r="D81" s="47">
        <f>+PEPL!D47</f>
        <v>180282.48</v>
      </c>
      <c r="E81" s="47">
        <f>+C81-D81</f>
        <v>-161856.08000000002</v>
      </c>
      <c r="F81" s="363">
        <f>+PEPL!A41</f>
        <v>37325</v>
      </c>
      <c r="G81" s="32" t="s">
        <v>299</v>
      </c>
      <c r="H81" s="32" t="s">
        <v>100</v>
      </c>
      <c r="I81" s="32" t="s">
        <v>141</v>
      </c>
      <c r="J81" s="32"/>
      <c r="K81" s="32"/>
    </row>
    <row r="82" spans="1:12" ht="13.5" customHeight="1" outlineLevel="2" x14ac:dyDescent="0.25">
      <c r="A82" s="248" t="s">
        <v>110</v>
      </c>
      <c r="B82" s="206">
        <f>+CIG!D42</f>
        <v>17587</v>
      </c>
      <c r="C82" s="582">
        <f>+B82*$G$4</f>
        <v>43615.76</v>
      </c>
      <c r="D82" s="200">
        <f>+CIG!D49</f>
        <v>385897</v>
      </c>
      <c r="E82" s="70">
        <f>+C82-D82</f>
        <v>-342281.24</v>
      </c>
      <c r="F82" s="363">
        <f>+CIG!A42</f>
        <v>37323</v>
      </c>
      <c r="G82" s="203" t="s">
        <v>153</v>
      </c>
      <c r="H82" s="32" t="s">
        <v>113</v>
      </c>
      <c r="I82" s="32" t="s">
        <v>179</v>
      </c>
      <c r="J82" s="32"/>
      <c r="K82" s="32"/>
    </row>
    <row r="83" spans="1:12" x14ac:dyDescent="0.25">
      <c r="A83" s="248" t="s">
        <v>31</v>
      </c>
      <c r="B83" s="370">
        <f>+Lonestar!F43</f>
        <v>40042</v>
      </c>
      <c r="C83" s="583">
        <f>+B83*G59</f>
        <v>99704.58</v>
      </c>
      <c r="D83" s="347">
        <f>+Lonestar!D50</f>
        <v>68764.960000000006</v>
      </c>
      <c r="E83" s="347">
        <f>+C83-D83</f>
        <v>30939.619999999995</v>
      </c>
      <c r="F83" s="362">
        <f>+Lonestar!A43</f>
        <v>37325</v>
      </c>
      <c r="G83" s="32" t="s">
        <v>299</v>
      </c>
      <c r="H83" s="32" t="s">
        <v>102</v>
      </c>
      <c r="I83" s="32"/>
      <c r="J83" s="32"/>
      <c r="K83" s="32"/>
    </row>
    <row r="84" spans="1:12" x14ac:dyDescent="0.25">
      <c r="A84" s="2" t="s">
        <v>159</v>
      </c>
      <c r="B84" s="387">
        <f>SUBTOTAL(9,B80:B83)</f>
        <v>1949</v>
      </c>
      <c r="C84" s="386">
        <f>SUBTOTAL(9,C80:C83)</f>
        <v>4602.839999999982</v>
      </c>
      <c r="D84" s="386">
        <f>SUBTOTAL(9,D80:D83)</f>
        <v>713162.6399999999</v>
      </c>
      <c r="E84" s="386">
        <f>SUBTOTAL(9,E80:E83)</f>
        <v>-708559.8</v>
      </c>
      <c r="F84" s="362"/>
      <c r="H84" s="32"/>
      <c r="I84" s="32"/>
      <c r="J84" s="32"/>
      <c r="K84" s="32"/>
    </row>
    <row r="85" spans="1:12" x14ac:dyDescent="0.25">
      <c r="B85" s="286"/>
      <c r="C85" s="247"/>
    </row>
    <row r="86" spans="1:12" x14ac:dyDescent="0.25">
      <c r="A86" s="2" t="s">
        <v>164</v>
      </c>
      <c r="B86" s="387">
        <f>SUBTOTAL(9,B66:B83)</f>
        <v>-34707</v>
      </c>
      <c r="C86" s="386">
        <f>SUBTOTAL(9,C66:C83)</f>
        <v>-86452.180000000037</v>
      </c>
      <c r="D86" s="386">
        <f>SUBTOTAL(9,D66:D83)</f>
        <v>-1530353.8599999999</v>
      </c>
      <c r="E86" s="386">
        <f>SUBTOTAL(9,E66:E83)</f>
        <v>1443901.6799999997</v>
      </c>
      <c r="F86" s="362"/>
      <c r="H86" s="32"/>
      <c r="I86" s="32"/>
      <c r="J86" s="32"/>
      <c r="K86" s="32"/>
    </row>
    <row r="87" spans="1:12" x14ac:dyDescent="0.25">
      <c r="A87" s="32"/>
      <c r="B87" s="344"/>
      <c r="C87" s="367"/>
      <c r="D87" s="344"/>
      <c r="E87" s="344"/>
      <c r="F87" s="362"/>
      <c r="H87" s="32"/>
      <c r="I87" s="32"/>
      <c r="J87" s="32"/>
      <c r="K87" s="32"/>
    </row>
    <row r="88" spans="1:12" x14ac:dyDescent="0.25">
      <c r="A88" s="32"/>
      <c r="B88" s="347"/>
      <c r="C88" s="366"/>
      <c r="D88" s="290"/>
      <c r="E88" s="290"/>
      <c r="F88" s="362"/>
      <c r="G88" s="32"/>
      <c r="I88" s="32"/>
      <c r="J88" s="32"/>
      <c r="K88" s="32"/>
      <c r="L88" s="32"/>
    </row>
    <row r="89" spans="1:12" ht="13.8" thickBot="1" x14ac:dyDescent="0.3">
      <c r="A89" s="2" t="s">
        <v>166</v>
      </c>
      <c r="B89" s="394">
        <f>+C86+B51</f>
        <v>1723000.2599999998</v>
      </c>
      <c r="C89" s="206"/>
      <c r="D89" s="344"/>
      <c r="E89" s="344"/>
      <c r="F89" s="351"/>
      <c r="H89" s="32"/>
      <c r="I89" s="32"/>
      <c r="J89" s="32"/>
      <c r="K89" s="32"/>
    </row>
    <row r="90" spans="1:12" ht="13.8" thickTop="1" x14ac:dyDescent="0.25">
      <c r="A90" s="2" t="s">
        <v>167</v>
      </c>
      <c r="B90" s="14">
        <f>+B86+C51</f>
        <v>694709.04657339037</v>
      </c>
      <c r="C90" s="369"/>
      <c r="D90" s="420"/>
      <c r="E90" s="290"/>
      <c r="F90" s="351"/>
      <c r="G90" s="32"/>
      <c r="H90" s="32"/>
      <c r="I90" s="32"/>
      <c r="J90" s="32"/>
    </row>
    <row r="91" spans="1:12" x14ac:dyDescent="0.25">
      <c r="A91" s="32"/>
      <c r="B91" s="47"/>
      <c r="C91" s="371"/>
      <c r="D91" s="290"/>
      <c r="E91" s="290"/>
      <c r="F91" s="204"/>
      <c r="G91" s="32"/>
      <c r="H91" s="32"/>
      <c r="I91" s="32"/>
      <c r="J91" s="32"/>
    </row>
    <row r="92" spans="1:12" x14ac:dyDescent="0.25">
      <c r="A92" s="32"/>
      <c r="B92" s="47"/>
      <c r="C92" s="69"/>
      <c r="E92" s="32"/>
      <c r="F92" s="32"/>
      <c r="G92" s="32"/>
      <c r="H92" s="32"/>
      <c r="I92" s="32"/>
    </row>
    <row r="93" spans="1:12" x14ac:dyDescent="0.25">
      <c r="A93" s="32"/>
      <c r="B93" s="47"/>
      <c r="C93" s="69"/>
      <c r="D93" s="32"/>
      <c r="E93" s="32"/>
      <c r="F93" s="32"/>
      <c r="G93" s="32"/>
      <c r="H93" s="32"/>
    </row>
    <row r="94" spans="1:12" x14ac:dyDescent="0.25">
      <c r="A94" s="32"/>
      <c r="B94" s="200"/>
      <c r="C94" s="291"/>
      <c r="D94" s="16"/>
      <c r="E94" s="32"/>
      <c r="F94" s="32"/>
      <c r="G94" s="32"/>
      <c r="H94" s="32"/>
    </row>
    <row r="100" spans="1:8" x14ac:dyDescent="0.25">
      <c r="A100" s="32"/>
      <c r="B100" s="200"/>
      <c r="C100" s="69"/>
      <c r="D100" s="70"/>
      <c r="E100" s="32"/>
      <c r="F100" s="32"/>
      <c r="G100" s="32"/>
      <c r="H100" s="32"/>
    </row>
    <row r="101" spans="1:8" x14ac:dyDescent="0.25">
      <c r="A101" s="32"/>
      <c r="B101" s="47"/>
      <c r="C101" s="14"/>
      <c r="D101" s="32"/>
      <c r="E101" s="32"/>
      <c r="F101" s="32"/>
      <c r="G101" s="32"/>
      <c r="H101" s="32"/>
    </row>
    <row r="102" spans="1:8" x14ac:dyDescent="0.25">
      <c r="A102" s="32"/>
      <c r="B102" s="47"/>
      <c r="C102" s="14"/>
      <c r="D102" s="32"/>
      <c r="E102" s="32"/>
      <c r="F102" s="32"/>
      <c r="G102" s="32"/>
      <c r="H102" s="32"/>
    </row>
    <row r="103" spans="1:8" x14ac:dyDescent="0.25">
      <c r="A103" s="32"/>
      <c r="B103" s="200"/>
      <c r="C103" s="14"/>
      <c r="D103" s="70"/>
      <c r="E103" s="32"/>
      <c r="F103" s="32"/>
      <c r="G103" s="32"/>
      <c r="H103" s="32"/>
    </row>
    <row r="104" spans="1:8" x14ac:dyDescent="0.25">
      <c r="A104" s="32"/>
      <c r="B104" s="200"/>
      <c r="C104" s="69"/>
      <c r="D104" s="70"/>
      <c r="E104" s="32"/>
      <c r="F104" s="32"/>
      <c r="G104" s="32"/>
      <c r="H104" s="32"/>
    </row>
    <row r="105" spans="1:8" x14ac:dyDescent="0.25">
      <c r="A105" s="32"/>
      <c r="B105" s="200"/>
      <c r="C105" s="69"/>
      <c r="D105" s="32"/>
      <c r="E105" s="32"/>
      <c r="F105" s="32"/>
      <c r="G105" s="32"/>
      <c r="H105" s="32"/>
    </row>
    <row r="106" spans="1:8" x14ac:dyDescent="0.25">
      <c r="A106" s="32"/>
      <c r="B106" s="200"/>
      <c r="C106" s="360"/>
      <c r="D106" s="32"/>
      <c r="E106" s="32"/>
      <c r="F106" s="32"/>
      <c r="G106" s="32"/>
      <c r="H106" s="32"/>
    </row>
    <row r="107" spans="1:8" x14ac:dyDescent="0.25">
      <c r="A107" s="32"/>
      <c r="B107" s="47"/>
      <c r="C107" s="69"/>
      <c r="D107" s="32"/>
      <c r="E107" s="32"/>
      <c r="F107" s="32"/>
      <c r="G107" s="32"/>
      <c r="H107" s="32"/>
    </row>
    <row r="108" spans="1:8" x14ac:dyDescent="0.25">
      <c r="A108" s="32"/>
      <c r="B108" s="47"/>
      <c r="D108" s="32"/>
      <c r="E108" s="32"/>
      <c r="F108" s="32"/>
      <c r="G108" s="32"/>
      <c r="H108" s="32"/>
    </row>
    <row r="109" spans="1:8" x14ac:dyDescent="0.25">
      <c r="A109" s="32"/>
      <c r="B109" s="47"/>
      <c r="D109" s="32"/>
      <c r="E109" s="32"/>
      <c r="F109" s="32"/>
      <c r="G109" s="32"/>
      <c r="H109" s="32"/>
    </row>
    <row r="110" spans="1:8" x14ac:dyDescent="0.25">
      <c r="A110" s="32"/>
      <c r="B110" s="47"/>
      <c r="D110" s="32"/>
      <c r="E110" s="32"/>
      <c r="F110" s="32"/>
      <c r="G110" s="32"/>
      <c r="H110" s="32"/>
    </row>
    <row r="111" spans="1:8" x14ac:dyDescent="0.25">
      <c r="A111" s="32"/>
      <c r="B111" s="47"/>
      <c r="D111" s="32"/>
      <c r="E111" s="32"/>
      <c r="F111" s="32"/>
      <c r="G111" s="32"/>
      <c r="H111" s="32"/>
    </row>
    <row r="112" spans="1:8" x14ac:dyDescent="0.25">
      <c r="A112" s="32"/>
      <c r="B112" s="47"/>
      <c r="D112" s="32"/>
      <c r="E112" s="32"/>
      <c r="F112" s="32"/>
      <c r="G112" s="32"/>
      <c r="H112" s="32"/>
    </row>
    <row r="113" spans="1:8" x14ac:dyDescent="0.25">
      <c r="A113" s="32"/>
      <c r="B113" s="47"/>
      <c r="D113" s="32"/>
      <c r="E113" s="32"/>
      <c r="F113" s="32"/>
      <c r="G113" s="32"/>
      <c r="H113" s="32"/>
    </row>
    <row r="114" spans="1:8" x14ac:dyDescent="0.25">
      <c r="A114" s="32"/>
      <c r="B114" s="47"/>
      <c r="D114" s="32"/>
      <c r="E114" s="32"/>
      <c r="F114" s="32"/>
      <c r="G114" s="32"/>
      <c r="H114" s="32"/>
    </row>
    <row r="115" spans="1:8" x14ac:dyDescent="0.25">
      <c r="A115" s="32"/>
      <c r="B115" s="47"/>
      <c r="D115" s="32"/>
      <c r="E115" s="32"/>
      <c r="F115" s="32"/>
      <c r="G115" s="32"/>
      <c r="H115" s="32"/>
    </row>
    <row r="116" spans="1:8" x14ac:dyDescent="0.25">
      <c r="A116" s="32"/>
      <c r="B116" s="47"/>
      <c r="D116" s="32"/>
      <c r="E116" s="32"/>
      <c r="F116" s="32"/>
      <c r="G116" s="32"/>
      <c r="H116" s="32"/>
    </row>
    <row r="117" spans="1:8" x14ac:dyDescent="0.25">
      <c r="A117" s="32"/>
      <c r="B117" s="47"/>
      <c r="D117" s="32"/>
      <c r="E117" s="32"/>
      <c r="F117" s="32"/>
      <c r="G117" s="32"/>
      <c r="H117" s="32"/>
    </row>
    <row r="118" spans="1:8" x14ac:dyDescent="0.25">
      <c r="A118" s="32"/>
      <c r="B118" s="47"/>
      <c r="D118" s="32"/>
      <c r="E118" s="32"/>
      <c r="F118" s="32"/>
      <c r="G118" s="32"/>
      <c r="H118" s="32"/>
    </row>
    <row r="119" spans="1:8" x14ac:dyDescent="0.25">
      <c r="A119" s="32"/>
      <c r="B119" s="47"/>
      <c r="D119" s="32"/>
      <c r="E119" s="32"/>
      <c r="F119" s="32"/>
      <c r="G119" s="32"/>
      <c r="H119" s="32"/>
    </row>
    <row r="120" spans="1:8" x14ac:dyDescent="0.25">
      <c r="A120" s="32"/>
      <c r="B120" s="47"/>
      <c r="D120" s="32"/>
      <c r="E120" s="32"/>
      <c r="F120" s="32"/>
      <c r="G120" s="32"/>
      <c r="H120" s="32"/>
    </row>
    <row r="121" spans="1:8" x14ac:dyDescent="0.25">
      <c r="A121" s="32"/>
      <c r="B121" s="47"/>
      <c r="D121" s="32"/>
      <c r="E121" s="32"/>
      <c r="F121" s="32"/>
      <c r="G121" s="32"/>
      <c r="H121" s="32"/>
    </row>
    <row r="122" spans="1:8" x14ac:dyDescent="0.25">
      <c r="A122" s="32"/>
      <c r="B122" s="47"/>
      <c r="D122" s="32"/>
      <c r="E122" s="32"/>
      <c r="F122" s="32"/>
      <c r="G122" s="32"/>
      <c r="H122" s="32"/>
    </row>
    <row r="123" spans="1:8" x14ac:dyDescent="0.25">
      <c r="A123" s="32"/>
      <c r="B123" s="47"/>
      <c r="D123" s="32"/>
      <c r="E123" s="32"/>
      <c r="F123" s="32"/>
      <c r="G123" s="32"/>
      <c r="H123" s="32"/>
    </row>
    <row r="124" spans="1:8" x14ac:dyDescent="0.25">
      <c r="A124" s="32"/>
      <c r="B124" s="47"/>
      <c r="D124" s="32"/>
      <c r="E124" s="32"/>
      <c r="F124" s="32"/>
      <c r="G124" s="32"/>
      <c r="H124" s="32"/>
    </row>
    <row r="125" spans="1:8" x14ac:dyDescent="0.25">
      <c r="A125" s="32"/>
      <c r="B125" s="47"/>
      <c r="C125" s="327"/>
      <c r="D125" s="327"/>
      <c r="E125" s="327"/>
      <c r="F125" s="32"/>
      <c r="G125" s="32"/>
      <c r="H125" s="32"/>
    </row>
    <row r="126" spans="1:8" x14ac:dyDescent="0.25">
      <c r="A126" s="32"/>
      <c r="B126" s="47"/>
      <c r="C126" s="327"/>
      <c r="D126" s="327"/>
      <c r="E126" s="327"/>
      <c r="F126" s="32"/>
      <c r="G126" s="32"/>
      <c r="H126" s="32"/>
    </row>
    <row r="127" spans="1:8" x14ac:dyDescent="0.25">
      <c r="A127" s="32"/>
      <c r="B127" s="47"/>
      <c r="C127" s="327"/>
      <c r="D127" s="327"/>
      <c r="E127" s="327"/>
      <c r="F127" s="32"/>
      <c r="G127" s="32"/>
      <c r="H127" s="32"/>
    </row>
    <row r="128" spans="1:8" x14ac:dyDescent="0.25">
      <c r="A128" s="32"/>
      <c r="B128" s="47"/>
      <c r="C128" s="327"/>
      <c r="D128" s="327"/>
      <c r="E128" s="327"/>
      <c r="F128" s="32"/>
      <c r="G128" s="32"/>
      <c r="H128" s="32"/>
    </row>
    <row r="129" spans="1:8" x14ac:dyDescent="0.25">
      <c r="A129" s="32"/>
      <c r="B129" s="47"/>
      <c r="C129" s="327"/>
      <c r="D129" s="327"/>
      <c r="E129" s="327"/>
      <c r="F129" s="32"/>
      <c r="G129" s="32"/>
      <c r="H129" s="32"/>
    </row>
    <row r="130" spans="1:8" x14ac:dyDescent="0.25">
      <c r="A130" s="32"/>
      <c r="B130" s="47"/>
      <c r="C130" s="327"/>
      <c r="D130" s="327"/>
      <c r="E130" s="327"/>
      <c r="F130" s="32"/>
      <c r="G130" s="32"/>
      <c r="H130" s="32"/>
    </row>
    <row r="131" spans="1:8" x14ac:dyDescent="0.25">
      <c r="A131" s="32"/>
      <c r="B131" s="47"/>
      <c r="C131" s="327"/>
      <c r="D131" s="327"/>
      <c r="E131" s="327"/>
      <c r="F131" s="32"/>
      <c r="G131" s="32"/>
      <c r="H131" s="32"/>
    </row>
    <row r="132" spans="1:8" x14ac:dyDescent="0.25">
      <c r="A132" s="32"/>
      <c r="B132" s="47"/>
      <c r="C132" s="327"/>
      <c r="D132" s="327"/>
      <c r="E132" s="327"/>
      <c r="F132" s="32"/>
      <c r="G132" s="32"/>
      <c r="H132" s="32"/>
    </row>
    <row r="133" spans="1:8" x14ac:dyDescent="0.25">
      <c r="A133" s="32"/>
      <c r="B133" s="47"/>
      <c r="C133" s="327"/>
      <c r="D133" s="327"/>
      <c r="E133" s="327"/>
      <c r="F133" s="32"/>
      <c r="G133" s="32"/>
      <c r="H133" s="32"/>
    </row>
    <row r="134" spans="1:8" x14ac:dyDescent="0.25">
      <c r="A134" s="32"/>
      <c r="B134" s="47"/>
      <c r="C134" s="327"/>
      <c r="D134" s="327"/>
      <c r="E134" s="327"/>
      <c r="F134" s="32"/>
      <c r="G134" s="32"/>
      <c r="H134" s="32"/>
    </row>
    <row r="135" spans="1:8" x14ac:dyDescent="0.25">
      <c r="A135" s="32"/>
      <c r="B135" s="47"/>
      <c r="C135" s="327"/>
      <c r="D135" s="327"/>
      <c r="E135" s="327"/>
      <c r="F135" s="32"/>
      <c r="G135" s="32"/>
      <c r="H135" s="32"/>
    </row>
    <row r="136" spans="1:8" x14ac:dyDescent="0.25">
      <c r="A136" s="32"/>
      <c r="B136" s="47"/>
      <c r="C136" s="69"/>
      <c r="D136" s="32"/>
      <c r="E136" s="32"/>
      <c r="F136" s="32"/>
      <c r="G136" s="32"/>
      <c r="H136" s="32"/>
    </row>
    <row r="137" spans="1:8" x14ac:dyDescent="0.25">
      <c r="A137" s="32"/>
      <c r="B137" s="47"/>
      <c r="C137" s="69"/>
      <c r="D137" s="16"/>
      <c r="E137" s="32"/>
      <c r="F137" s="32"/>
      <c r="G137" s="32"/>
      <c r="H137" s="32"/>
    </row>
    <row r="138" spans="1:8" x14ac:dyDescent="0.25">
      <c r="A138" s="32"/>
      <c r="B138" s="47"/>
      <c r="C138" s="69"/>
      <c r="D138" s="32"/>
      <c r="E138" s="32"/>
      <c r="F138" s="32"/>
      <c r="G138" s="32"/>
      <c r="H138" s="32"/>
    </row>
    <row r="139" spans="1:8" x14ac:dyDescent="0.25">
      <c r="D139" s="31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5" workbookViewId="0">
      <selection activeCell="A43" sqref="A43"/>
    </sheetView>
  </sheetViews>
  <sheetFormatPr defaultRowHeight="13.2" x14ac:dyDescent="0.25"/>
  <cols>
    <col min="1" max="1" width="10.33203125" bestFit="1" customWidth="1"/>
    <col min="2" max="2" width="9.33203125" customWidth="1"/>
    <col min="3" max="3" width="10.6640625" bestFit="1" customWidth="1"/>
    <col min="4" max="4" width="12.109375" customWidth="1"/>
    <col min="5" max="5" width="13.109375" customWidth="1"/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4"/>
      <c r="B6" s="34" t="s">
        <v>180</v>
      </c>
      <c r="C6" s="285"/>
      <c r="D6" s="34" t="s">
        <v>181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342" t="s">
        <v>10</v>
      </c>
      <c r="B7" s="427" t="s">
        <v>19</v>
      </c>
      <c r="C7" s="427" t="s">
        <v>20</v>
      </c>
      <c r="D7" s="427" t="s">
        <v>19</v>
      </c>
      <c r="E7" s="427" t="s">
        <v>20</v>
      </c>
      <c r="F7" s="427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5">
      <c r="A8" s="428">
        <v>1</v>
      </c>
      <c r="B8" s="409">
        <v>13</v>
      </c>
      <c r="C8" s="409"/>
      <c r="D8" s="409">
        <v>-666</v>
      </c>
      <c r="E8" s="409"/>
      <c r="F8" s="307">
        <f>+C8-B8+E8-D8</f>
        <v>653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5">
      <c r="A9" s="428">
        <v>2</v>
      </c>
      <c r="B9" s="409">
        <v>12</v>
      </c>
      <c r="C9" s="409"/>
      <c r="D9" s="409">
        <v>-3300</v>
      </c>
      <c r="E9" s="409"/>
      <c r="F9" s="307">
        <f t="shared" ref="F9:F38" si="0">+C9-B9+E9-D9</f>
        <v>3288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5">
      <c r="A10" s="428">
        <v>3</v>
      </c>
      <c r="B10" s="409"/>
      <c r="C10" s="409"/>
      <c r="D10" s="409">
        <v>-3941</v>
      </c>
      <c r="E10" s="409"/>
      <c r="F10" s="307">
        <f t="shared" si="0"/>
        <v>3941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5">
      <c r="A11" s="428">
        <v>4</v>
      </c>
      <c r="B11" s="409"/>
      <c r="C11" s="409"/>
      <c r="D11" s="409">
        <v>-3861</v>
      </c>
      <c r="E11" s="409"/>
      <c r="F11" s="307">
        <f t="shared" si="0"/>
        <v>3861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5">
      <c r="A12" s="428">
        <v>5</v>
      </c>
      <c r="B12" s="409"/>
      <c r="C12" s="409"/>
      <c r="D12" s="409">
        <v>-3809</v>
      </c>
      <c r="E12" s="409"/>
      <c r="F12" s="307">
        <f t="shared" si="0"/>
        <v>3809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5">
      <c r="A13" s="428">
        <v>6</v>
      </c>
      <c r="B13" s="409"/>
      <c r="C13" s="409"/>
      <c r="D13" s="409">
        <v>-3887</v>
      </c>
      <c r="E13" s="409"/>
      <c r="F13" s="307">
        <f t="shared" si="0"/>
        <v>3887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5">
      <c r="A14" s="428">
        <v>7</v>
      </c>
      <c r="B14" s="409"/>
      <c r="C14" s="409"/>
      <c r="D14" s="409">
        <v>-3882</v>
      </c>
      <c r="E14" s="409"/>
      <c r="F14" s="307">
        <f t="shared" si="0"/>
        <v>3882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5">
      <c r="A15" s="428">
        <v>8</v>
      </c>
      <c r="B15" s="409"/>
      <c r="C15" s="409"/>
      <c r="D15" s="409">
        <v>-1118</v>
      </c>
      <c r="E15" s="409"/>
      <c r="F15" s="307">
        <f t="shared" si="0"/>
        <v>1118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5">
      <c r="A16" s="428">
        <v>9</v>
      </c>
      <c r="B16" s="409"/>
      <c r="C16" s="409"/>
      <c r="D16" s="409"/>
      <c r="E16" s="409"/>
      <c r="F16" s="307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5">
      <c r="A17" s="428">
        <v>10</v>
      </c>
      <c r="B17" s="409"/>
      <c r="C17" s="409"/>
      <c r="D17" s="409"/>
      <c r="E17" s="409"/>
      <c r="F17" s="307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5">
      <c r="A18" s="428">
        <v>11</v>
      </c>
      <c r="B18" s="409">
        <v>679</v>
      </c>
      <c r="C18" s="409"/>
      <c r="D18" s="409"/>
      <c r="E18" s="409"/>
      <c r="F18" s="307">
        <f t="shared" si="0"/>
        <v>-679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5">
      <c r="A19" s="428">
        <v>12</v>
      </c>
      <c r="B19" s="409"/>
      <c r="C19" s="409"/>
      <c r="D19" s="409"/>
      <c r="E19" s="409"/>
      <c r="F19" s="30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5">
      <c r="A20" s="428">
        <v>13</v>
      </c>
      <c r="B20" s="409"/>
      <c r="C20" s="409"/>
      <c r="D20" s="409"/>
      <c r="E20" s="409"/>
      <c r="F20" s="30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5">
      <c r="A21" s="428">
        <v>14</v>
      </c>
      <c r="B21" s="409"/>
      <c r="C21" s="409"/>
      <c r="D21" s="409"/>
      <c r="E21" s="409"/>
      <c r="F21" s="30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5">
      <c r="A22" s="428">
        <v>15</v>
      </c>
      <c r="B22" s="409"/>
      <c r="C22" s="409"/>
      <c r="D22" s="409"/>
      <c r="E22" s="409"/>
      <c r="F22" s="30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5">
      <c r="A23" s="428">
        <v>16</v>
      </c>
      <c r="B23" s="409"/>
      <c r="C23" s="409"/>
      <c r="D23" s="409"/>
      <c r="E23" s="409"/>
      <c r="F23" s="30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5">
      <c r="A24" s="428">
        <v>17</v>
      </c>
      <c r="B24" s="409"/>
      <c r="C24" s="409"/>
      <c r="D24" s="409"/>
      <c r="E24" s="409"/>
      <c r="F24" s="30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5">
      <c r="A25" s="428">
        <v>18</v>
      </c>
      <c r="B25" s="409"/>
      <c r="C25" s="409"/>
      <c r="D25" s="409"/>
      <c r="E25" s="409"/>
      <c r="F25" s="307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5">
      <c r="A26" s="428">
        <v>19</v>
      </c>
      <c r="B26" s="409"/>
      <c r="C26" s="409"/>
      <c r="D26" s="409"/>
      <c r="E26" s="409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5">
      <c r="A27" s="428">
        <v>20</v>
      </c>
      <c r="B27" s="435"/>
      <c r="C27" s="409"/>
      <c r="D27" s="409"/>
      <c r="E27" s="409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5">
      <c r="A28" s="428">
        <v>21</v>
      </c>
      <c r="B28" s="409"/>
      <c r="C28" s="409"/>
      <c r="D28" s="409"/>
      <c r="E28" s="409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5">
      <c r="A29" s="428">
        <v>22</v>
      </c>
      <c r="B29" s="409"/>
      <c r="C29" s="409"/>
      <c r="D29" s="409"/>
      <c r="E29" s="409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5">
      <c r="A30" s="428">
        <v>23</v>
      </c>
      <c r="B30" s="409"/>
      <c r="C30" s="409"/>
      <c r="D30" s="409"/>
      <c r="E30" s="409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5">
      <c r="A31" s="428">
        <v>24</v>
      </c>
      <c r="B31" s="409"/>
      <c r="C31" s="409"/>
      <c r="D31" s="409"/>
      <c r="E31" s="409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5">
      <c r="A32" s="428">
        <v>25</v>
      </c>
      <c r="B32" s="409"/>
      <c r="C32" s="409"/>
      <c r="D32" s="409"/>
      <c r="E32" s="409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5">
      <c r="A33" s="428">
        <v>26</v>
      </c>
      <c r="B33" s="409"/>
      <c r="C33" s="409"/>
      <c r="D33" s="409"/>
      <c r="E33" s="409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5">
      <c r="A34" s="428">
        <v>27</v>
      </c>
      <c r="B34" s="409"/>
      <c r="C34" s="409"/>
      <c r="D34" s="409"/>
      <c r="E34" s="409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5">
      <c r="A35" s="428">
        <v>28</v>
      </c>
      <c r="B35" s="409"/>
      <c r="C35" s="409"/>
      <c r="D35" s="409"/>
      <c r="E35" s="409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5">
      <c r="A36" s="428">
        <v>29</v>
      </c>
      <c r="B36" s="409"/>
      <c r="C36" s="409"/>
      <c r="D36" s="409"/>
      <c r="E36" s="409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5">
      <c r="A37" s="428">
        <v>30</v>
      </c>
      <c r="B37" s="409"/>
      <c r="C37" s="409"/>
      <c r="D37" s="409"/>
      <c r="E37" s="409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5">
      <c r="A38" s="428">
        <v>31</v>
      </c>
      <c r="B38" s="409"/>
      <c r="C38" s="409"/>
      <c r="D38" s="409"/>
      <c r="E38" s="409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5">
      <c r="A39" s="428"/>
      <c r="B39" s="409">
        <f>SUM(B8:B38)</f>
        <v>704</v>
      </c>
      <c r="C39" s="409">
        <f>SUM(C8:C38)</f>
        <v>0</v>
      </c>
      <c r="D39" s="409">
        <f>SUM(D8:D38)</f>
        <v>-24464</v>
      </c>
      <c r="E39" s="409">
        <f>SUM(E8:E38)</f>
        <v>0</v>
      </c>
      <c r="F39" s="409">
        <f>SUM(F8:F38)</f>
        <v>23760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5">
      <c r="A40" s="429"/>
      <c r="B40" s="285"/>
      <c r="C40" s="430"/>
      <c r="D40" s="430"/>
      <c r="E40" s="430"/>
      <c r="F40" s="431">
        <f>+summary!G4</f>
        <v>2.48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5">
      <c r="A41" s="285"/>
      <c r="B41" s="285"/>
      <c r="C41" s="285"/>
      <c r="D41" s="285"/>
      <c r="E41" s="285"/>
      <c r="F41" s="432">
        <f>+F40*F39</f>
        <v>58924.800000000003</v>
      </c>
      <c r="J41" s="138"/>
      <c r="N41" s="138"/>
      <c r="R41" s="138"/>
      <c r="V41" s="138"/>
      <c r="Z41" s="138"/>
    </row>
    <row r="42" spans="1:26" ht="15" customHeight="1" x14ac:dyDescent="0.25">
      <c r="A42" s="56">
        <v>37315</v>
      </c>
      <c r="B42" s="285"/>
      <c r="C42" s="433"/>
      <c r="D42" s="433"/>
      <c r="E42" s="433"/>
      <c r="F42" s="559">
        <v>178356.43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5">
      <c r="A43" s="56">
        <v>37326</v>
      </c>
      <c r="B43" s="285"/>
      <c r="C43" s="434"/>
      <c r="D43" s="434"/>
      <c r="E43" s="434"/>
      <c r="F43" s="415">
        <f>+F42+F41</f>
        <v>237281.22999999998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5">
      <c r="A46" s="32" t="s">
        <v>148</v>
      </c>
      <c r="B46" s="32"/>
      <c r="C46" s="32"/>
      <c r="D46" s="32"/>
      <c r="E46" s="11"/>
    </row>
    <row r="47" spans="1:26" x14ac:dyDescent="0.25">
      <c r="A47" s="49">
        <f>+A42</f>
        <v>37315</v>
      </c>
      <c r="B47" s="32"/>
      <c r="C47" s="32"/>
      <c r="D47" s="484">
        <v>-355979</v>
      </c>
      <c r="E47" s="11"/>
    </row>
    <row r="48" spans="1:26" x14ac:dyDescent="0.25">
      <c r="A48" s="49">
        <f>+A43</f>
        <v>37326</v>
      </c>
      <c r="B48" s="32"/>
      <c r="C48" s="32"/>
      <c r="D48" s="348">
        <f>+F39</f>
        <v>23760</v>
      </c>
      <c r="E48" s="11"/>
    </row>
    <row r="49" spans="1:5" x14ac:dyDescent="0.25">
      <c r="A49" s="32"/>
      <c r="B49" s="32"/>
      <c r="C49" s="32"/>
      <c r="D49" s="14">
        <f>+D48+D47</f>
        <v>-332219</v>
      </c>
      <c r="E49" s="11"/>
    </row>
    <row r="50" spans="1:5" x14ac:dyDescent="0.25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topLeftCell="A2" workbookViewId="0">
      <selection activeCell="A25" sqref="A25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4" ht="13.2" x14ac:dyDescent="0.25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>
        <f>-494091-103344</f>
        <v>-597435</v>
      </c>
      <c r="C6" s="80"/>
      <c r="D6" s="80">
        <f t="shared" ref="D6:D14" si="0">+C6-B6</f>
        <v>597435</v>
      </c>
    </row>
    <row r="7" spans="1:4" x14ac:dyDescent="0.2">
      <c r="A7" s="32">
        <v>3531</v>
      </c>
      <c r="B7" s="309">
        <f>-329741-30689</f>
        <v>-360430</v>
      </c>
      <c r="C7" s="80">
        <v>-124630</v>
      </c>
      <c r="D7" s="80">
        <f t="shared" si="0"/>
        <v>235800</v>
      </c>
    </row>
    <row r="8" spans="1:4" x14ac:dyDescent="0.2">
      <c r="A8" s="32">
        <v>60667</v>
      </c>
      <c r="B8" s="309">
        <v>-191052</v>
      </c>
      <c r="C8" s="80">
        <v>-1168781</v>
      </c>
      <c r="D8" s="80">
        <f t="shared" si="0"/>
        <v>-977729</v>
      </c>
    </row>
    <row r="9" spans="1:4" x14ac:dyDescent="0.2">
      <c r="A9" s="32">
        <v>60749</v>
      </c>
      <c r="B9" s="309">
        <v>9058</v>
      </c>
      <c r="C9" s="80">
        <v>145315</v>
      </c>
      <c r="D9" s="80">
        <f t="shared" si="0"/>
        <v>136257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-11437</v>
      </c>
      <c r="C11" s="80"/>
      <c r="D11" s="80">
        <f t="shared" si="0"/>
        <v>11437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3200</v>
      </c>
    </row>
    <row r="19" spans="1:5" x14ac:dyDescent="0.2">
      <c r="A19" s="32" t="s">
        <v>81</v>
      </c>
      <c r="B19" s="69"/>
      <c r="C19" s="69"/>
      <c r="D19" s="73">
        <f>+summary!G4</f>
        <v>2.48</v>
      </c>
    </row>
    <row r="20" spans="1:5" x14ac:dyDescent="0.2">
      <c r="B20" s="69"/>
      <c r="C20" s="69"/>
      <c r="D20" s="75">
        <f>+D19*D18</f>
        <v>7936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37315</v>
      </c>
      <c r="B22" s="69"/>
      <c r="C22" s="80"/>
      <c r="D22" s="578">
        <v>33520</v>
      </c>
      <c r="E22" s="249"/>
    </row>
    <row r="23" spans="1:5" x14ac:dyDescent="0.2">
      <c r="B23" s="69"/>
      <c r="C23" s="80"/>
      <c r="D23" s="288"/>
      <c r="E23" s="249"/>
    </row>
    <row r="24" spans="1:5" ht="10.8" thickBot="1" x14ac:dyDescent="0.25">
      <c r="A24" s="49">
        <v>37326</v>
      </c>
      <c r="B24" s="69"/>
      <c r="C24" s="69"/>
      <c r="D24" s="331">
        <f>+D22+D20</f>
        <v>41456</v>
      </c>
      <c r="E24" s="249"/>
    </row>
    <row r="25" spans="1:5" ht="10.8" thickTop="1" x14ac:dyDescent="0.2">
      <c r="B25" s="69"/>
      <c r="C25" s="69"/>
      <c r="D25" s="69"/>
      <c r="E25" s="249"/>
    </row>
    <row r="31" spans="1:5" x14ac:dyDescent="0.2">
      <c r="A31" s="32" t="s">
        <v>148</v>
      </c>
    </row>
    <row r="32" spans="1:5" x14ac:dyDescent="0.2">
      <c r="A32" s="49">
        <f>+A22</f>
        <v>37315</v>
      </c>
      <c r="D32" s="573">
        <v>15258</v>
      </c>
    </row>
    <row r="33" spans="1:4" x14ac:dyDescent="0.2">
      <c r="A33" s="49">
        <f>+A24</f>
        <v>37326</v>
      </c>
      <c r="D33" s="348">
        <f>+D18</f>
        <v>3200</v>
      </c>
    </row>
    <row r="34" spans="1:4" x14ac:dyDescent="0.2">
      <c r="D34" s="14">
        <f>+D33+D32</f>
        <v>18458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29"/>
  <sheetViews>
    <sheetView topLeftCell="A2" workbookViewId="0">
      <selection activeCell="A24" sqref="A24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343" customWidth="1"/>
  </cols>
  <sheetData>
    <row r="3" spans="1:11" x14ac:dyDescent="0.25">
      <c r="A3" s="3" t="s">
        <v>83</v>
      </c>
      <c r="B3" s="88"/>
      <c r="C3" s="257"/>
      <c r="D3" s="88"/>
    </row>
    <row r="4" spans="1:11" x14ac:dyDescent="0.25">
      <c r="A4" s="87"/>
      <c r="B4" s="254" t="s">
        <v>19</v>
      </c>
      <c r="C4" s="254" t="s">
        <v>20</v>
      </c>
      <c r="D4" s="255" t="s">
        <v>49</v>
      </c>
    </row>
    <row r="5" spans="1:11" x14ac:dyDescent="0.25">
      <c r="A5" s="87">
        <v>9236</v>
      </c>
      <c r="B5" s="90">
        <f>-56064-5289</f>
        <v>-61353</v>
      </c>
      <c r="C5" s="90">
        <v>-53592</v>
      </c>
      <c r="D5" s="90">
        <f t="shared" ref="D5:D13" si="0">+C5-B5</f>
        <v>7761</v>
      </c>
      <c r="E5" s="69"/>
      <c r="F5" s="201"/>
    </row>
    <row r="6" spans="1:11" x14ac:dyDescent="0.25">
      <c r="A6" s="87">
        <v>9238</v>
      </c>
      <c r="B6" s="90">
        <f>-3914-211</f>
        <v>-4125</v>
      </c>
      <c r="C6" s="90">
        <v>-11000</v>
      </c>
      <c r="D6" s="90">
        <f t="shared" si="0"/>
        <v>-6875</v>
      </c>
      <c r="E6" s="275"/>
      <c r="F6" s="201"/>
      <c r="K6" s="65"/>
    </row>
    <row r="7" spans="1:11" x14ac:dyDescent="0.25">
      <c r="A7" s="87">
        <v>56422</v>
      </c>
      <c r="B7" s="90">
        <f>-864939-50721</f>
        <v>-915660</v>
      </c>
      <c r="C7" s="90">
        <v>-937924</v>
      </c>
      <c r="D7" s="90">
        <f t="shared" si="0"/>
        <v>-22264</v>
      </c>
      <c r="E7" s="275"/>
      <c r="F7" s="201"/>
    </row>
    <row r="8" spans="1:11" x14ac:dyDescent="0.25">
      <c r="A8" s="87">
        <v>58710</v>
      </c>
      <c r="B8" s="90"/>
      <c r="C8" s="90">
        <v>680</v>
      </c>
      <c r="D8" s="90">
        <f t="shared" si="0"/>
        <v>680</v>
      </c>
      <c r="E8" s="275"/>
      <c r="F8" s="201"/>
    </row>
    <row r="9" spans="1:11" x14ac:dyDescent="0.25">
      <c r="A9" s="87">
        <v>60921</v>
      </c>
      <c r="B9" s="90">
        <v>-358443</v>
      </c>
      <c r="C9" s="90">
        <v>-406431</v>
      </c>
      <c r="D9" s="90">
        <f t="shared" si="0"/>
        <v>-47988</v>
      </c>
      <c r="E9" s="275"/>
      <c r="F9" s="201"/>
    </row>
    <row r="10" spans="1:11" x14ac:dyDescent="0.25">
      <c r="A10" s="87">
        <v>78026</v>
      </c>
      <c r="B10" s="90"/>
      <c r="C10" s="90"/>
      <c r="D10" s="90">
        <f t="shared" si="0"/>
        <v>0</v>
      </c>
      <c r="E10" s="275"/>
      <c r="F10" s="464"/>
    </row>
    <row r="11" spans="1:11" x14ac:dyDescent="0.25">
      <c r="A11" s="87">
        <v>500084</v>
      </c>
      <c r="B11" s="90">
        <f>-23312-2308</f>
        <v>-25620</v>
      </c>
      <c r="C11" s="90">
        <v>-11000</v>
      </c>
      <c r="D11" s="90">
        <f t="shared" si="0"/>
        <v>14620</v>
      </c>
      <c r="E11" s="276"/>
      <c r="F11" s="464"/>
    </row>
    <row r="12" spans="1:11" x14ac:dyDescent="0.25">
      <c r="A12" s="317">
        <v>500085</v>
      </c>
      <c r="B12" s="90"/>
      <c r="C12" s="90"/>
      <c r="D12" s="90">
        <f t="shared" si="0"/>
        <v>0</v>
      </c>
      <c r="E12" s="275"/>
      <c r="F12" s="464"/>
    </row>
    <row r="13" spans="1:11" x14ac:dyDescent="0.25">
      <c r="A13" s="87">
        <v>500097</v>
      </c>
      <c r="B13" s="90">
        <v>-12112</v>
      </c>
      <c r="C13" s="90">
        <v>-12000</v>
      </c>
      <c r="D13" s="90">
        <f t="shared" si="0"/>
        <v>112</v>
      </c>
      <c r="E13" s="275"/>
      <c r="F13" s="464"/>
    </row>
    <row r="14" spans="1:11" x14ac:dyDescent="0.25">
      <c r="A14" s="87"/>
      <c r="B14" s="90"/>
      <c r="C14" s="90"/>
      <c r="D14" s="90"/>
      <c r="E14" s="275"/>
      <c r="F14" s="464"/>
    </row>
    <row r="15" spans="1:11" x14ac:dyDescent="0.25">
      <c r="A15" s="87"/>
      <c r="B15" s="90"/>
      <c r="C15" s="90"/>
      <c r="D15" s="90"/>
      <c r="E15" s="275"/>
      <c r="F15" s="464"/>
    </row>
    <row r="16" spans="1:11" x14ac:dyDescent="0.25">
      <c r="A16" s="87"/>
      <c r="B16" s="88"/>
      <c r="C16" s="88"/>
      <c r="D16" s="94"/>
      <c r="E16" s="275"/>
      <c r="F16" s="464"/>
    </row>
    <row r="17" spans="1:7" x14ac:dyDescent="0.25">
      <c r="A17" s="87"/>
      <c r="B17" s="88"/>
      <c r="C17" s="88"/>
      <c r="D17" s="88">
        <f>SUM(D5:D16)</f>
        <v>-53954</v>
      </c>
      <c r="E17" s="275"/>
      <c r="F17" s="464"/>
    </row>
    <row r="18" spans="1:7" x14ac:dyDescent="0.25">
      <c r="A18" s="87" t="s">
        <v>81</v>
      </c>
      <c r="B18" s="88"/>
      <c r="C18" s="88"/>
      <c r="D18" s="95">
        <f>+summary!G4</f>
        <v>2.48</v>
      </c>
      <c r="E18" s="277"/>
      <c r="F18" s="464"/>
    </row>
    <row r="19" spans="1:7" x14ac:dyDescent="0.25">
      <c r="A19" s="87"/>
      <c r="B19" s="88"/>
      <c r="C19" s="88"/>
      <c r="D19" s="96">
        <f>+D18*D17</f>
        <v>-133805.92000000001</v>
      </c>
      <c r="E19" s="207"/>
      <c r="F19" s="464"/>
    </row>
    <row r="20" spans="1:7" x14ac:dyDescent="0.25">
      <c r="A20" s="87"/>
      <c r="B20" s="88"/>
      <c r="C20" s="88"/>
      <c r="D20" s="96"/>
      <c r="E20" s="207"/>
      <c r="F20" s="201"/>
    </row>
    <row r="21" spans="1:7" x14ac:dyDescent="0.25">
      <c r="A21" s="99">
        <v>37315</v>
      </c>
      <c r="B21" s="88"/>
      <c r="C21" s="88"/>
      <c r="D21" s="514">
        <v>866614.36</v>
      </c>
      <c r="E21" s="207"/>
      <c r="F21" s="465"/>
    </row>
    <row r="22" spans="1:7" x14ac:dyDescent="0.25">
      <c r="A22" s="87"/>
      <c r="B22" s="88"/>
      <c r="C22" s="88"/>
      <c r="D22" s="308"/>
      <c r="E22" s="207"/>
      <c r="F22" s="465"/>
    </row>
    <row r="23" spans="1:7" ht="13.8" thickBot="1" x14ac:dyDescent="0.3">
      <c r="A23" s="99">
        <v>37326</v>
      </c>
      <c r="B23" s="88"/>
      <c r="C23" s="88"/>
      <c r="D23" s="318">
        <f>+D21+D19</f>
        <v>732808.44</v>
      </c>
      <c r="E23" s="207"/>
      <c r="F23" s="465"/>
    </row>
    <row r="24" spans="1:7" ht="13.8" thickTop="1" x14ac:dyDescent="0.25">
      <c r="E24" s="278"/>
    </row>
    <row r="25" spans="1:7" x14ac:dyDescent="0.25">
      <c r="E25" s="496"/>
    </row>
    <row r="27" spans="1:7" x14ac:dyDescent="0.25">
      <c r="A27" s="32" t="s">
        <v>148</v>
      </c>
      <c r="B27" s="32"/>
      <c r="C27" s="32"/>
      <c r="D27" s="32"/>
    </row>
    <row r="28" spans="1:7" x14ac:dyDescent="0.25">
      <c r="A28" s="49">
        <f>+A21</f>
        <v>37315</v>
      </c>
      <c r="B28" s="32"/>
      <c r="C28" s="32"/>
      <c r="D28" s="599">
        <v>355045</v>
      </c>
    </row>
    <row r="29" spans="1:7" x14ac:dyDescent="0.25">
      <c r="A29" s="49">
        <f>+A23</f>
        <v>37326</v>
      </c>
      <c r="B29" s="32"/>
      <c r="C29" s="32"/>
      <c r="D29" s="348">
        <f>+D17</f>
        <v>-53954</v>
      </c>
    </row>
    <row r="30" spans="1:7" x14ac:dyDescent="0.25">
      <c r="A30" s="32"/>
      <c r="B30" s="32"/>
      <c r="C30" s="32"/>
      <c r="D30" s="14">
        <f>+D29+D28</f>
        <v>301091</v>
      </c>
      <c r="E30" s="343"/>
    </row>
    <row r="31" spans="1:7" x14ac:dyDescent="0.25">
      <c r="A31" s="139"/>
      <c r="B31" s="119"/>
      <c r="C31" s="140"/>
      <c r="D31" s="515"/>
    </row>
    <row r="32" spans="1:7" x14ac:dyDescent="0.25">
      <c r="B32" s="69"/>
      <c r="C32" s="69"/>
      <c r="D32" s="201"/>
      <c r="E32" s="70"/>
      <c r="F32" s="201"/>
      <c r="G32" s="32"/>
    </row>
    <row r="33" spans="1:7" x14ac:dyDescent="0.25">
      <c r="B33" s="69"/>
      <c r="C33" s="69"/>
      <c r="D33" s="201">
        <f>+D23/D30</f>
        <v>2.4338437216655429</v>
      </c>
      <c r="E33" s="69"/>
      <c r="F33" s="201"/>
      <c r="G33" s="32"/>
    </row>
    <row r="34" spans="1:7" x14ac:dyDescent="0.25">
      <c r="B34" s="69"/>
      <c r="C34" s="69"/>
      <c r="D34" s="69"/>
      <c r="E34" s="69"/>
      <c r="F34" s="201"/>
      <c r="G34" s="32"/>
    </row>
    <row r="35" spans="1:7" x14ac:dyDescent="0.25">
      <c r="B35" s="69"/>
      <c r="C35" s="69"/>
      <c r="D35" s="69"/>
      <c r="E35" s="69"/>
      <c r="F35" s="201"/>
      <c r="G35" s="32"/>
    </row>
    <row r="36" spans="1:7" x14ac:dyDescent="0.25">
      <c r="B36" s="69"/>
      <c r="C36" s="69"/>
      <c r="D36" s="291"/>
      <c r="E36" s="69"/>
      <c r="F36" s="201"/>
      <c r="G36" s="32"/>
    </row>
    <row r="37" spans="1:7" x14ac:dyDescent="0.25">
      <c r="B37" s="69"/>
      <c r="C37" s="69"/>
      <c r="D37" s="291"/>
      <c r="E37" s="69"/>
      <c r="F37" s="201"/>
      <c r="G37" s="32"/>
    </row>
    <row r="38" spans="1:7" x14ac:dyDescent="0.25">
      <c r="B38" s="69"/>
      <c r="C38" s="69"/>
      <c r="D38" s="291"/>
      <c r="E38" s="69"/>
      <c r="F38" s="201"/>
      <c r="G38" s="32"/>
    </row>
    <row r="39" spans="1:7" x14ac:dyDescent="0.25">
      <c r="B39" s="69"/>
      <c r="C39" s="69"/>
      <c r="D39" s="291"/>
      <c r="E39" s="69"/>
      <c r="F39" s="201"/>
      <c r="G39" s="32"/>
    </row>
    <row r="40" spans="1:7" x14ac:dyDescent="0.25">
      <c r="B40" s="69"/>
      <c r="C40" s="69"/>
      <c r="D40" s="291"/>
      <c r="E40" s="69"/>
      <c r="F40" s="201"/>
      <c r="G40" s="32"/>
    </row>
    <row r="41" spans="1:7" x14ac:dyDescent="0.25">
      <c r="B41" s="69"/>
      <c r="C41" s="69"/>
      <c r="D41" s="291"/>
      <c r="E41" s="69"/>
      <c r="F41" s="201"/>
      <c r="G41" s="32"/>
    </row>
    <row r="42" spans="1:7" x14ac:dyDescent="0.25">
      <c r="B42" s="69"/>
      <c r="C42" s="69"/>
      <c r="D42" s="291"/>
      <c r="E42" s="69"/>
      <c r="F42" s="201"/>
      <c r="G42" s="32"/>
    </row>
    <row r="43" spans="1:7" x14ac:dyDescent="0.25">
      <c r="B43" s="69"/>
      <c r="C43" s="69"/>
      <c r="D43" s="291"/>
      <c r="E43" s="69"/>
      <c r="F43" s="201"/>
      <c r="G43" s="32"/>
    </row>
    <row r="44" spans="1:7" x14ac:dyDescent="0.25">
      <c r="B44" s="69"/>
      <c r="C44" s="69"/>
      <c r="D44" s="292"/>
      <c r="E44" s="275"/>
      <c r="F44" s="464"/>
      <c r="G44" s="204"/>
    </row>
    <row r="45" spans="1:7" x14ac:dyDescent="0.25">
      <c r="B45" s="69"/>
      <c r="C45" s="69"/>
      <c r="D45" s="292"/>
      <c r="E45" s="275"/>
      <c r="F45" s="464"/>
      <c r="G45" s="204"/>
    </row>
    <row r="46" spans="1:7" x14ac:dyDescent="0.25">
      <c r="A46" s="32"/>
      <c r="B46" s="69"/>
      <c r="C46" s="69"/>
      <c r="D46" s="275"/>
      <c r="E46" s="275"/>
      <c r="F46" s="464"/>
      <c r="G46" s="204"/>
    </row>
    <row r="47" spans="1:7" x14ac:dyDescent="0.25">
      <c r="A47" s="32"/>
      <c r="B47" s="69"/>
      <c r="C47" s="69"/>
      <c r="D47" s="277"/>
      <c r="E47" s="277"/>
      <c r="F47" s="464"/>
      <c r="G47" s="204"/>
    </row>
    <row r="48" spans="1:7" x14ac:dyDescent="0.25">
      <c r="B48" s="69"/>
      <c r="C48" s="69"/>
      <c r="D48" s="275"/>
      <c r="E48" s="275"/>
      <c r="F48" s="464"/>
      <c r="G48" s="204"/>
    </row>
    <row r="49" spans="1:7" x14ac:dyDescent="0.25">
      <c r="B49" s="69"/>
      <c r="C49" s="69"/>
      <c r="D49" s="275"/>
      <c r="E49" s="275"/>
      <c r="F49" s="464"/>
      <c r="G49" s="204"/>
    </row>
    <row r="50" spans="1:7" x14ac:dyDescent="0.25">
      <c r="C50" s="289"/>
      <c r="D50" s="289"/>
      <c r="E50" s="289"/>
      <c r="F50" s="466"/>
      <c r="G50" s="290"/>
    </row>
    <row r="51" spans="1:7" x14ac:dyDescent="0.25">
      <c r="A51" s="32"/>
      <c r="C51" s="289"/>
      <c r="D51" s="289"/>
      <c r="E51" s="289"/>
      <c r="F51" s="466"/>
    </row>
    <row r="52" spans="1:7" x14ac:dyDescent="0.25">
      <c r="A52" s="32"/>
      <c r="C52" s="289"/>
      <c r="D52" s="289"/>
      <c r="E52" s="289"/>
      <c r="F52" s="466"/>
    </row>
    <row r="53" spans="1:7" x14ac:dyDescent="0.25">
      <c r="A53" s="32"/>
      <c r="C53" s="289"/>
      <c r="D53" s="289"/>
      <c r="E53" s="289"/>
      <c r="F53" s="466"/>
    </row>
    <row r="54" spans="1:7" x14ac:dyDescent="0.25">
      <c r="A54" s="32"/>
      <c r="C54" s="289"/>
      <c r="D54" s="289"/>
      <c r="E54" s="289"/>
      <c r="F54" s="466"/>
    </row>
    <row r="55" spans="1:7" x14ac:dyDescent="0.25">
      <c r="A55" s="32"/>
      <c r="C55" s="289"/>
      <c r="D55" s="289"/>
      <c r="E55" s="278"/>
      <c r="F55" s="420"/>
    </row>
    <row r="56" spans="1:7" x14ac:dyDescent="0.25">
      <c r="C56" s="289"/>
      <c r="D56" s="289"/>
      <c r="E56" s="278"/>
      <c r="F56" s="420"/>
    </row>
    <row r="57" spans="1:7" x14ac:dyDescent="0.25">
      <c r="C57" s="289"/>
      <c r="D57" s="289"/>
      <c r="E57" s="278"/>
      <c r="F57" s="420"/>
    </row>
    <row r="82" spans="1:6" x14ac:dyDescent="0.25">
      <c r="B82" s="69"/>
      <c r="C82" s="69"/>
      <c r="D82" s="69"/>
      <c r="E82" s="70"/>
      <c r="F82" s="201"/>
    </row>
    <row r="83" spans="1:6" x14ac:dyDescent="0.25">
      <c r="B83" s="69"/>
      <c r="C83" s="69"/>
      <c r="D83" s="69"/>
      <c r="E83" s="69"/>
      <c r="F83" s="201"/>
    </row>
    <row r="84" spans="1:6" x14ac:dyDescent="0.25">
      <c r="B84" s="69"/>
      <c r="C84" s="69"/>
      <c r="D84" s="69"/>
      <c r="E84" s="69"/>
      <c r="F84" s="201"/>
    </row>
    <row r="85" spans="1:6" x14ac:dyDescent="0.25">
      <c r="B85" s="69"/>
      <c r="C85" s="69"/>
      <c r="D85" s="69"/>
      <c r="E85" s="69"/>
      <c r="F85" s="201"/>
    </row>
    <row r="86" spans="1:6" x14ac:dyDescent="0.25">
      <c r="B86" s="69"/>
      <c r="C86" s="69"/>
      <c r="D86" s="69"/>
      <c r="E86" s="69"/>
      <c r="F86" s="201"/>
    </row>
    <row r="87" spans="1:6" x14ac:dyDescent="0.25">
      <c r="B87" s="69"/>
      <c r="C87" s="69"/>
      <c r="D87" s="69"/>
      <c r="E87" s="69"/>
      <c r="F87" s="201"/>
    </row>
    <row r="88" spans="1:6" x14ac:dyDescent="0.25">
      <c r="B88" s="69"/>
      <c r="C88" s="69"/>
      <c r="D88" s="69"/>
      <c r="E88" s="69"/>
      <c r="F88" s="201"/>
    </row>
    <row r="89" spans="1:6" x14ac:dyDescent="0.25">
      <c r="B89" s="69"/>
      <c r="C89" s="69"/>
      <c r="D89" s="69"/>
      <c r="E89" s="69"/>
      <c r="F89" s="201"/>
    </row>
    <row r="90" spans="1:6" x14ac:dyDescent="0.25">
      <c r="B90" s="69"/>
      <c r="C90" s="69"/>
      <c r="D90" s="69"/>
      <c r="E90" s="69"/>
      <c r="F90" s="201"/>
    </row>
    <row r="91" spans="1:6" x14ac:dyDescent="0.25">
      <c r="B91" s="69"/>
      <c r="C91" s="69"/>
      <c r="D91" s="69"/>
      <c r="E91" s="69"/>
      <c r="F91" s="201"/>
    </row>
    <row r="92" spans="1:6" x14ac:dyDescent="0.25">
      <c r="B92" s="69"/>
      <c r="C92" s="69"/>
      <c r="D92" s="69"/>
      <c r="E92" s="69"/>
      <c r="F92" s="201"/>
    </row>
    <row r="93" spans="1:6" x14ac:dyDescent="0.25">
      <c r="B93" s="69"/>
      <c r="C93" s="69"/>
      <c r="D93" s="69"/>
      <c r="E93" s="69"/>
      <c r="F93" s="201"/>
    </row>
    <row r="94" spans="1:6" x14ac:dyDescent="0.25">
      <c r="B94" s="69"/>
      <c r="C94" s="69"/>
      <c r="D94" s="69"/>
      <c r="E94" s="69"/>
      <c r="F94" s="201"/>
    </row>
    <row r="95" spans="1:6" x14ac:dyDescent="0.25">
      <c r="B95" s="69"/>
      <c r="C95" s="69"/>
      <c r="D95" s="71"/>
      <c r="E95" s="71"/>
      <c r="F95" s="467"/>
    </row>
    <row r="96" spans="1:6" x14ac:dyDescent="0.25">
      <c r="A96" s="32"/>
      <c r="B96" s="69"/>
      <c r="C96" s="69"/>
      <c r="D96" s="69"/>
      <c r="E96" s="69"/>
      <c r="F96" s="201"/>
    </row>
    <row r="97" spans="1:6" x14ac:dyDescent="0.25">
      <c r="A97" s="32"/>
      <c r="B97" s="69"/>
      <c r="C97" s="69"/>
      <c r="D97" s="73"/>
      <c r="E97" s="73"/>
      <c r="F97" s="201"/>
    </row>
    <row r="98" spans="1:6" x14ac:dyDescent="0.25">
      <c r="B98" s="69"/>
      <c r="C98" s="69"/>
      <c r="D98" s="69"/>
      <c r="E98" s="69"/>
      <c r="F98" s="201"/>
    </row>
    <row r="99" spans="1:6" x14ac:dyDescent="0.25">
      <c r="B99" s="69"/>
      <c r="C99" s="69"/>
      <c r="D99" s="69"/>
      <c r="E99" s="69"/>
      <c r="F99" s="201"/>
    </row>
    <row r="100" spans="1:6" x14ac:dyDescent="0.25">
      <c r="A100" s="32"/>
      <c r="D100" s="67"/>
      <c r="E100" s="67"/>
      <c r="F100" s="465"/>
    </row>
    <row r="101" spans="1:6" x14ac:dyDescent="0.25">
      <c r="A101" s="32"/>
      <c r="E101" s="63"/>
      <c r="F101" s="465"/>
    </row>
    <row r="102" spans="1:6" ht="13.8" thickBot="1" x14ac:dyDescent="0.3">
      <c r="A102" s="32"/>
      <c r="D102" s="68"/>
      <c r="E102" s="68"/>
      <c r="F102" s="465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201"/>
    </row>
    <row r="109" spans="1:6" x14ac:dyDescent="0.25">
      <c r="B109" s="69"/>
      <c r="C109" s="69"/>
      <c r="D109" s="69"/>
      <c r="E109" s="69"/>
      <c r="F109" s="201"/>
    </row>
    <row r="110" spans="1:6" x14ac:dyDescent="0.25">
      <c r="B110" s="69"/>
      <c r="C110" s="69"/>
      <c r="D110" s="69"/>
      <c r="E110" s="69"/>
      <c r="F110" s="201"/>
    </row>
    <row r="111" spans="1:6" x14ac:dyDescent="0.25">
      <c r="B111" s="69"/>
      <c r="C111" s="69"/>
      <c r="D111" s="69"/>
      <c r="E111" s="69"/>
      <c r="F111" s="201"/>
    </row>
    <row r="112" spans="1:6" x14ac:dyDescent="0.25">
      <c r="B112" s="69"/>
      <c r="C112" s="69"/>
      <c r="D112" s="69"/>
      <c r="E112" s="69"/>
      <c r="F112" s="201"/>
    </row>
    <row r="113" spans="1:6" x14ac:dyDescent="0.25">
      <c r="B113" s="69"/>
      <c r="C113" s="69"/>
      <c r="D113" s="69"/>
      <c r="E113" s="69"/>
      <c r="F113" s="201"/>
    </row>
    <row r="114" spans="1:6" x14ac:dyDescent="0.25">
      <c r="B114" s="69"/>
      <c r="C114" s="69"/>
      <c r="D114" s="69"/>
      <c r="E114" s="69"/>
      <c r="F114" s="201"/>
    </row>
    <row r="115" spans="1:6" x14ac:dyDescent="0.25">
      <c r="B115" s="69"/>
      <c r="C115" s="69"/>
      <c r="D115" s="69"/>
      <c r="E115" s="69"/>
      <c r="F115" s="201"/>
    </row>
    <row r="116" spans="1:6" x14ac:dyDescent="0.25">
      <c r="B116" s="69"/>
      <c r="C116" s="69"/>
      <c r="D116" s="69"/>
      <c r="E116" s="69"/>
      <c r="F116" s="201"/>
    </row>
    <row r="117" spans="1:6" x14ac:dyDescent="0.25">
      <c r="B117" s="69"/>
      <c r="C117" s="69"/>
      <c r="D117" s="69"/>
      <c r="E117" s="69"/>
      <c r="F117" s="201"/>
    </row>
    <row r="118" spans="1:6" x14ac:dyDescent="0.25">
      <c r="B118" s="69"/>
      <c r="C118" s="69"/>
      <c r="D118" s="69"/>
      <c r="E118" s="69"/>
      <c r="F118" s="201"/>
    </row>
    <row r="119" spans="1:6" x14ac:dyDescent="0.25">
      <c r="B119" s="69"/>
      <c r="C119" s="69"/>
      <c r="D119" s="69"/>
      <c r="E119" s="69"/>
      <c r="F119" s="201"/>
    </row>
    <row r="120" spans="1:6" x14ac:dyDescent="0.25">
      <c r="B120" s="69"/>
      <c r="C120" s="69"/>
      <c r="D120" s="69"/>
      <c r="E120" s="69"/>
      <c r="F120" s="201"/>
    </row>
    <row r="121" spans="1:6" x14ac:dyDescent="0.25">
      <c r="B121" s="69"/>
      <c r="C121" s="69"/>
      <c r="D121" s="71"/>
      <c r="E121" s="71"/>
      <c r="F121" s="467"/>
    </row>
    <row r="122" spans="1:6" x14ac:dyDescent="0.25">
      <c r="A122" s="32"/>
      <c r="B122" s="69"/>
      <c r="C122" s="69"/>
      <c r="D122" s="69"/>
      <c r="E122" s="69"/>
      <c r="F122" s="201"/>
    </row>
    <row r="123" spans="1:6" x14ac:dyDescent="0.25">
      <c r="A123" s="32"/>
      <c r="B123" s="69"/>
      <c r="C123" s="69"/>
      <c r="D123" s="73"/>
      <c r="E123" s="73"/>
      <c r="F123" s="201"/>
    </row>
    <row r="124" spans="1:6" x14ac:dyDescent="0.25">
      <c r="B124" s="69"/>
      <c r="C124" s="69"/>
      <c r="D124" s="75"/>
      <c r="E124" s="75"/>
      <c r="F124" s="201"/>
    </row>
    <row r="125" spans="1:6" x14ac:dyDescent="0.25">
      <c r="B125" s="69"/>
      <c r="C125" s="69"/>
      <c r="D125" s="75"/>
      <c r="E125" s="75"/>
      <c r="F125" s="201"/>
    </row>
    <row r="126" spans="1:6" x14ac:dyDescent="0.25">
      <c r="A126" s="32"/>
      <c r="D126" s="76"/>
      <c r="E126" s="76"/>
      <c r="F126" s="465"/>
    </row>
    <row r="127" spans="1:6" x14ac:dyDescent="0.25">
      <c r="A127" s="32"/>
      <c r="D127" s="75"/>
      <c r="E127" s="75"/>
      <c r="F127" s="465"/>
    </row>
    <row r="128" spans="1:6" ht="13.8" thickBot="1" x14ac:dyDescent="0.3">
      <c r="A128" s="32"/>
      <c r="D128" s="77"/>
      <c r="E128" s="77"/>
      <c r="F128" s="465"/>
    </row>
    <row r="129" spans="2:6" ht="13.8" thickTop="1" x14ac:dyDescent="0.25"/>
    <row r="133" spans="2:6" x14ac:dyDescent="0.25">
      <c r="B133" s="69"/>
      <c r="C133" s="69"/>
      <c r="D133" s="69"/>
      <c r="E133" s="70"/>
      <c r="F133" s="201"/>
    </row>
    <row r="134" spans="2:6" x14ac:dyDescent="0.25">
      <c r="B134" s="69"/>
      <c r="C134" s="69"/>
      <c r="D134" s="69"/>
      <c r="E134" s="69"/>
      <c r="F134" s="201"/>
    </row>
    <row r="135" spans="2:6" x14ac:dyDescent="0.25">
      <c r="B135" s="69"/>
      <c r="C135" s="69"/>
      <c r="D135" s="69"/>
      <c r="E135" s="69"/>
      <c r="F135" s="201"/>
    </row>
    <row r="136" spans="2:6" x14ac:dyDescent="0.25">
      <c r="B136" s="69"/>
      <c r="C136" s="69"/>
      <c r="D136" s="69"/>
      <c r="E136" s="69"/>
      <c r="F136" s="201"/>
    </row>
    <row r="137" spans="2:6" x14ac:dyDescent="0.25">
      <c r="B137" s="69"/>
      <c r="C137" s="69"/>
      <c r="D137" s="69"/>
      <c r="E137" s="69"/>
      <c r="F137" s="201"/>
    </row>
    <row r="138" spans="2:6" x14ac:dyDescent="0.25">
      <c r="B138" s="69"/>
      <c r="C138" s="69"/>
      <c r="D138" s="69"/>
      <c r="E138" s="69"/>
      <c r="F138" s="201"/>
    </row>
    <row r="139" spans="2:6" x14ac:dyDescent="0.25">
      <c r="B139" s="69"/>
      <c r="C139" s="69"/>
      <c r="D139" s="69"/>
      <c r="E139" s="69"/>
      <c r="F139" s="201"/>
    </row>
    <row r="140" spans="2:6" x14ac:dyDescent="0.25">
      <c r="B140" s="69"/>
      <c r="C140" s="69"/>
      <c r="D140" s="69"/>
      <c r="E140" s="69"/>
      <c r="F140" s="201"/>
    </row>
    <row r="141" spans="2:6" x14ac:dyDescent="0.25">
      <c r="B141" s="69"/>
      <c r="C141" s="69"/>
      <c r="D141" s="69"/>
      <c r="E141" s="69"/>
      <c r="F141" s="201"/>
    </row>
    <row r="142" spans="2:6" x14ac:dyDescent="0.25">
      <c r="B142" s="69"/>
      <c r="C142" s="69"/>
      <c r="D142" s="69"/>
      <c r="E142" s="69"/>
      <c r="F142" s="201"/>
    </row>
    <row r="143" spans="2:6" x14ac:dyDescent="0.25">
      <c r="B143" s="69"/>
      <c r="C143" s="69"/>
      <c r="D143" s="69"/>
      <c r="E143" s="69"/>
      <c r="F143" s="201"/>
    </row>
    <row r="144" spans="2:6" x14ac:dyDescent="0.25">
      <c r="B144" s="69"/>
      <c r="C144" s="69"/>
      <c r="D144" s="69"/>
      <c r="E144" s="69"/>
      <c r="F144" s="201"/>
    </row>
    <row r="145" spans="1:6" x14ac:dyDescent="0.25">
      <c r="B145" s="69"/>
      <c r="C145" s="69"/>
      <c r="D145" s="69"/>
      <c r="E145" s="69"/>
      <c r="F145" s="201"/>
    </row>
    <row r="146" spans="1:6" x14ac:dyDescent="0.25">
      <c r="B146" s="69"/>
      <c r="C146" s="69"/>
      <c r="D146" s="71"/>
      <c r="E146" s="71"/>
      <c r="F146" s="467"/>
    </row>
    <row r="147" spans="1:6" x14ac:dyDescent="0.25">
      <c r="A147" s="32"/>
      <c r="B147" s="69"/>
      <c r="C147" s="69"/>
      <c r="D147" s="69"/>
      <c r="E147" s="69"/>
      <c r="F147" s="201"/>
    </row>
    <row r="148" spans="1:6" x14ac:dyDescent="0.25">
      <c r="A148" s="32"/>
      <c r="B148" s="69"/>
      <c r="C148" s="69"/>
      <c r="D148" s="73"/>
      <c r="E148" s="73"/>
      <c r="F148" s="201"/>
    </row>
    <row r="149" spans="1:6" x14ac:dyDescent="0.25">
      <c r="B149" s="69"/>
      <c r="C149" s="69"/>
      <c r="D149" s="75"/>
      <c r="E149" s="75"/>
      <c r="F149" s="201"/>
    </row>
    <row r="150" spans="1:6" x14ac:dyDescent="0.25">
      <c r="B150" s="69"/>
      <c r="C150" s="69"/>
      <c r="D150" s="75"/>
      <c r="E150" s="75"/>
      <c r="F150" s="201"/>
    </row>
    <row r="151" spans="1:6" x14ac:dyDescent="0.25">
      <c r="A151" s="32"/>
      <c r="D151" s="76"/>
      <c r="E151" s="76"/>
      <c r="F151" s="465"/>
    </row>
    <row r="152" spans="1:6" x14ac:dyDescent="0.25">
      <c r="A152" s="32"/>
      <c r="D152" s="75"/>
      <c r="E152" s="75"/>
      <c r="F152" s="465"/>
    </row>
    <row r="153" spans="1:6" ht="13.8" thickBot="1" x14ac:dyDescent="0.3">
      <c r="A153" s="32"/>
      <c r="D153" s="77"/>
      <c r="E153" s="77"/>
      <c r="F153" s="465"/>
    </row>
    <row r="154" spans="1:6" ht="13.8" thickTop="1" x14ac:dyDescent="0.25"/>
    <row r="158" spans="1:6" x14ac:dyDescent="0.25">
      <c r="B158" s="69"/>
      <c r="C158" s="69"/>
      <c r="D158" s="69"/>
      <c r="E158" s="70"/>
      <c r="F158" s="201"/>
    </row>
    <row r="159" spans="1:6" x14ac:dyDescent="0.25">
      <c r="B159" s="78"/>
      <c r="C159" s="69"/>
      <c r="D159" s="69"/>
      <c r="E159" s="69"/>
      <c r="F159" s="201"/>
    </row>
    <row r="160" spans="1:6" x14ac:dyDescent="0.25">
      <c r="B160" s="69"/>
      <c r="C160" s="69"/>
      <c r="D160" s="69"/>
      <c r="E160" s="69"/>
      <c r="F160" s="201"/>
    </row>
    <row r="161" spans="1:6" x14ac:dyDescent="0.25">
      <c r="B161" s="78"/>
      <c r="C161" s="69"/>
      <c r="D161" s="69"/>
      <c r="E161" s="69"/>
      <c r="F161" s="201"/>
    </row>
    <row r="162" spans="1:6" x14ac:dyDescent="0.25">
      <c r="B162" s="69"/>
      <c r="C162" s="69"/>
      <c r="D162" s="69"/>
      <c r="E162" s="69"/>
      <c r="F162" s="201"/>
    </row>
    <row r="163" spans="1:6" x14ac:dyDescent="0.25">
      <c r="B163" s="69"/>
      <c r="C163" s="69"/>
      <c r="D163" s="69"/>
      <c r="E163" s="69"/>
      <c r="F163" s="201"/>
    </row>
    <row r="164" spans="1:6" x14ac:dyDescent="0.25">
      <c r="B164" s="78"/>
      <c r="C164" s="69"/>
      <c r="D164" s="69"/>
      <c r="E164" s="69"/>
      <c r="F164" s="201"/>
    </row>
    <row r="165" spans="1:6" x14ac:dyDescent="0.25">
      <c r="B165" s="69"/>
      <c r="C165" s="69"/>
      <c r="D165" s="69"/>
      <c r="E165" s="69"/>
      <c r="F165" s="201"/>
    </row>
    <row r="166" spans="1:6" x14ac:dyDescent="0.25">
      <c r="B166" s="69"/>
      <c r="C166" s="69"/>
      <c r="D166" s="69"/>
      <c r="E166" s="69"/>
      <c r="F166" s="201"/>
    </row>
    <row r="167" spans="1:6" x14ac:dyDescent="0.25">
      <c r="B167" s="69"/>
      <c r="C167" s="69"/>
      <c r="D167" s="69"/>
      <c r="E167" s="69"/>
      <c r="F167" s="201"/>
    </row>
    <row r="168" spans="1:6" x14ac:dyDescent="0.25">
      <c r="B168" s="69"/>
      <c r="C168" s="69"/>
      <c r="D168" s="69"/>
      <c r="E168" s="69"/>
      <c r="F168" s="201"/>
    </row>
    <row r="169" spans="1:6" x14ac:dyDescent="0.25">
      <c r="B169" s="78"/>
      <c r="C169" s="69"/>
      <c r="D169" s="69"/>
      <c r="E169" s="69"/>
      <c r="F169" s="201"/>
    </row>
    <row r="170" spans="1:6" x14ac:dyDescent="0.25">
      <c r="B170" s="78"/>
      <c r="C170" s="69"/>
      <c r="D170" s="69"/>
      <c r="E170" s="69"/>
      <c r="F170" s="201"/>
    </row>
    <row r="171" spans="1:6" x14ac:dyDescent="0.25">
      <c r="B171" s="78"/>
      <c r="C171" s="69"/>
      <c r="D171" s="71"/>
      <c r="E171" s="71"/>
      <c r="F171" s="467"/>
    </row>
    <row r="172" spans="1:6" x14ac:dyDescent="0.25">
      <c r="A172" s="32"/>
      <c r="B172" s="69"/>
      <c r="C172" s="69"/>
      <c r="D172" s="69"/>
      <c r="E172" s="69"/>
      <c r="F172" s="201"/>
    </row>
    <row r="173" spans="1:6" x14ac:dyDescent="0.25">
      <c r="A173" s="32"/>
      <c r="B173" s="69"/>
      <c r="C173" s="69"/>
      <c r="D173" s="73"/>
      <c r="E173" s="73"/>
      <c r="F173" s="201"/>
    </row>
    <row r="174" spans="1:6" x14ac:dyDescent="0.25">
      <c r="B174" s="69"/>
      <c r="C174" s="69"/>
      <c r="D174" s="75"/>
      <c r="E174" s="75"/>
      <c r="F174" s="201"/>
    </row>
    <row r="175" spans="1:6" x14ac:dyDescent="0.25">
      <c r="B175" s="69"/>
      <c r="C175" s="69"/>
      <c r="D175" s="75"/>
      <c r="E175" s="75"/>
      <c r="F175" s="201"/>
    </row>
    <row r="176" spans="1:6" x14ac:dyDescent="0.25">
      <c r="A176" s="32"/>
      <c r="D176" s="76"/>
      <c r="E176" s="76"/>
      <c r="F176" s="465"/>
    </row>
    <row r="177" spans="1:6" x14ac:dyDescent="0.25">
      <c r="A177" s="32"/>
      <c r="D177" s="75"/>
      <c r="E177" s="75"/>
      <c r="F177" s="465"/>
    </row>
    <row r="178" spans="1:6" ht="13.8" thickBot="1" x14ac:dyDescent="0.3">
      <c r="A178" s="32"/>
      <c r="D178" s="77"/>
      <c r="E178" s="77"/>
      <c r="F178" s="465"/>
    </row>
    <row r="179" spans="1:6" ht="13.8" thickTop="1" x14ac:dyDescent="0.25"/>
    <row r="182" spans="1:6" x14ac:dyDescent="0.25">
      <c r="B182" s="69"/>
      <c r="C182" s="69"/>
      <c r="D182" s="69"/>
      <c r="E182" s="70"/>
      <c r="F182" s="201"/>
    </row>
    <row r="183" spans="1:6" x14ac:dyDescent="0.25">
      <c r="B183" s="79"/>
      <c r="C183" s="80"/>
      <c r="D183" s="80"/>
      <c r="E183" s="69"/>
      <c r="F183" s="201"/>
    </row>
    <row r="184" spans="1:6" x14ac:dyDescent="0.25">
      <c r="B184" s="80"/>
      <c r="C184" s="80"/>
      <c r="D184" s="80"/>
      <c r="E184" s="69"/>
      <c r="F184" s="201"/>
    </row>
    <row r="185" spans="1:6" x14ac:dyDescent="0.25">
      <c r="B185" s="79"/>
      <c r="C185" s="80"/>
      <c r="D185" s="80"/>
      <c r="E185" s="69"/>
      <c r="F185" s="201"/>
    </row>
    <row r="186" spans="1:6" x14ac:dyDescent="0.25">
      <c r="B186" s="80"/>
      <c r="C186" s="80"/>
      <c r="D186" s="80"/>
      <c r="E186" s="69"/>
      <c r="F186" s="201"/>
    </row>
    <row r="187" spans="1:6" x14ac:dyDescent="0.25">
      <c r="B187" s="80"/>
      <c r="C187" s="80"/>
      <c r="D187" s="80"/>
      <c r="E187" s="69"/>
      <c r="F187" s="201"/>
    </row>
    <row r="188" spans="1:6" x14ac:dyDescent="0.25">
      <c r="B188" s="79"/>
      <c r="C188" s="80"/>
      <c r="D188" s="80"/>
      <c r="E188" s="69"/>
      <c r="F188" s="201"/>
    </row>
    <row r="189" spans="1:6" x14ac:dyDescent="0.25">
      <c r="B189" s="80"/>
      <c r="C189" s="80"/>
      <c r="D189" s="80"/>
      <c r="E189" s="69"/>
      <c r="F189" s="201"/>
    </row>
    <row r="190" spans="1:6" x14ac:dyDescent="0.25">
      <c r="A190" s="81"/>
      <c r="B190" s="82"/>
      <c r="C190" s="82"/>
      <c r="D190" s="82"/>
      <c r="E190" s="82"/>
      <c r="F190" s="201"/>
    </row>
    <row r="191" spans="1:6" x14ac:dyDescent="0.25">
      <c r="B191" s="80"/>
      <c r="C191" s="80"/>
      <c r="D191" s="80"/>
      <c r="E191" s="69"/>
      <c r="F191" s="201"/>
    </row>
    <row r="192" spans="1:6" x14ac:dyDescent="0.25">
      <c r="B192" s="80"/>
      <c r="C192" s="80"/>
      <c r="D192" s="80"/>
      <c r="E192" s="69"/>
      <c r="F192" s="201"/>
    </row>
    <row r="193" spans="1:6" x14ac:dyDescent="0.25">
      <c r="B193" s="79"/>
      <c r="C193" s="80"/>
      <c r="D193" s="80"/>
      <c r="E193" s="69"/>
      <c r="F193" s="201"/>
    </row>
    <row r="194" spans="1:6" x14ac:dyDescent="0.25">
      <c r="B194" s="79"/>
      <c r="C194" s="80"/>
      <c r="D194" s="80"/>
      <c r="E194" s="69"/>
      <c r="F194" s="201"/>
    </row>
    <row r="195" spans="1:6" x14ac:dyDescent="0.25">
      <c r="B195" s="78"/>
      <c r="C195" s="69"/>
      <c r="D195" s="71"/>
      <c r="E195" s="71"/>
      <c r="F195" s="467"/>
    </row>
    <row r="196" spans="1:6" x14ac:dyDescent="0.25">
      <c r="A196" s="32"/>
      <c r="B196" s="69"/>
      <c r="C196" s="69"/>
      <c r="D196" s="69"/>
      <c r="E196" s="69"/>
      <c r="F196" s="201"/>
    </row>
    <row r="197" spans="1:6" x14ac:dyDescent="0.25">
      <c r="A197" s="32"/>
      <c r="B197" s="69"/>
      <c r="C197" s="69"/>
      <c r="D197" s="73"/>
      <c r="E197" s="73"/>
      <c r="F197" s="201"/>
    </row>
    <row r="198" spans="1:6" x14ac:dyDescent="0.25">
      <c r="B198" s="69"/>
      <c r="C198" s="69"/>
      <c r="D198" s="75"/>
      <c r="E198" s="75"/>
      <c r="F198" s="201"/>
    </row>
    <row r="199" spans="1:6" x14ac:dyDescent="0.25">
      <c r="B199" s="69"/>
      <c r="C199" s="69"/>
      <c r="D199" s="75"/>
      <c r="E199" s="75"/>
      <c r="F199" s="201"/>
    </row>
    <row r="200" spans="1:6" x14ac:dyDescent="0.25">
      <c r="A200" s="32"/>
      <c r="D200" s="76"/>
      <c r="E200" s="76"/>
      <c r="F200" s="465"/>
    </row>
    <row r="201" spans="1:6" x14ac:dyDescent="0.25">
      <c r="A201" s="32"/>
      <c r="D201" s="75"/>
      <c r="E201" s="75"/>
      <c r="F201" s="465"/>
    </row>
    <row r="202" spans="1:6" ht="13.8" thickBot="1" x14ac:dyDescent="0.3">
      <c r="A202" s="32"/>
      <c r="D202" s="83"/>
      <c r="E202" s="77"/>
      <c r="F202" s="465"/>
    </row>
    <row r="203" spans="1:6" ht="13.8" thickTop="1" x14ac:dyDescent="0.25"/>
    <row r="209" spans="1:6" x14ac:dyDescent="0.25">
      <c r="B209" s="79"/>
      <c r="C209" s="80"/>
      <c r="D209" s="80"/>
      <c r="E209" s="69"/>
      <c r="F209" s="201"/>
    </row>
    <row r="210" spans="1:6" x14ac:dyDescent="0.25">
      <c r="B210" s="80"/>
      <c r="C210" s="80"/>
      <c r="D210" s="80"/>
      <c r="E210" s="69"/>
      <c r="F210" s="201"/>
    </row>
    <row r="211" spans="1:6" x14ac:dyDescent="0.25">
      <c r="B211" s="79"/>
      <c r="C211" s="80"/>
      <c r="D211" s="80"/>
      <c r="E211" s="69"/>
      <c r="F211" s="201"/>
    </row>
    <row r="212" spans="1:6" x14ac:dyDescent="0.25">
      <c r="B212" s="80"/>
      <c r="C212" s="80"/>
      <c r="D212" s="80"/>
      <c r="E212" s="69"/>
      <c r="F212" s="201"/>
    </row>
    <row r="213" spans="1:6" x14ac:dyDescent="0.25">
      <c r="B213" s="80"/>
      <c r="C213" s="80"/>
      <c r="D213" s="80"/>
      <c r="E213" s="69"/>
      <c r="F213" s="201"/>
    </row>
    <row r="214" spans="1:6" x14ac:dyDescent="0.25">
      <c r="B214" s="79"/>
      <c r="C214" s="80"/>
      <c r="D214" s="80"/>
      <c r="E214" s="69"/>
      <c r="F214" s="201"/>
    </row>
    <row r="215" spans="1:6" x14ac:dyDescent="0.25">
      <c r="B215" s="80"/>
      <c r="C215" s="80"/>
      <c r="D215" s="80"/>
      <c r="E215" s="69"/>
      <c r="F215" s="201"/>
    </row>
    <row r="216" spans="1:6" x14ac:dyDescent="0.25">
      <c r="A216" s="81"/>
      <c r="B216" s="82"/>
      <c r="C216" s="82"/>
      <c r="D216" s="82"/>
      <c r="E216" s="82"/>
      <c r="F216" s="201"/>
    </row>
    <row r="217" spans="1:6" x14ac:dyDescent="0.25">
      <c r="B217" s="80"/>
      <c r="C217" s="80"/>
      <c r="D217" s="80"/>
      <c r="E217" s="69"/>
      <c r="F217" s="201"/>
    </row>
    <row r="218" spans="1:6" x14ac:dyDescent="0.25">
      <c r="B218" s="80"/>
      <c r="C218" s="80"/>
      <c r="D218" s="80"/>
      <c r="E218" s="69"/>
      <c r="F218" s="201"/>
    </row>
    <row r="219" spans="1:6" x14ac:dyDescent="0.25">
      <c r="B219" s="79"/>
      <c r="C219" s="80"/>
      <c r="D219" s="80"/>
      <c r="E219" s="69"/>
      <c r="F219" s="201"/>
    </row>
    <row r="220" spans="1:6" x14ac:dyDescent="0.25">
      <c r="B220" s="79"/>
      <c r="C220" s="80"/>
      <c r="D220" s="80"/>
      <c r="E220" s="69"/>
      <c r="F220" s="201"/>
    </row>
    <row r="221" spans="1:6" x14ac:dyDescent="0.25">
      <c r="B221" s="78"/>
      <c r="C221" s="69"/>
      <c r="D221" s="71"/>
      <c r="E221" s="71"/>
      <c r="F221" s="467"/>
    </row>
    <row r="222" spans="1:6" x14ac:dyDescent="0.25">
      <c r="A222" s="32"/>
      <c r="B222" s="69"/>
      <c r="C222" s="69"/>
      <c r="D222" s="69"/>
      <c r="E222" s="69"/>
      <c r="F222" s="201"/>
    </row>
    <row r="223" spans="1:6" x14ac:dyDescent="0.25">
      <c r="A223" s="32"/>
      <c r="B223" s="69"/>
      <c r="C223" s="69"/>
      <c r="D223" s="73"/>
      <c r="E223" s="73"/>
      <c r="F223" s="201"/>
    </row>
    <row r="224" spans="1:6" x14ac:dyDescent="0.25">
      <c r="B224" s="69"/>
      <c r="C224" s="69"/>
      <c r="D224" s="75"/>
      <c r="E224" s="75"/>
      <c r="F224" s="201"/>
    </row>
    <row r="225" spans="1:6" x14ac:dyDescent="0.25">
      <c r="B225" s="69"/>
      <c r="C225" s="69"/>
      <c r="D225" s="75"/>
      <c r="E225" s="75"/>
      <c r="F225" s="201"/>
    </row>
    <row r="226" spans="1:6" x14ac:dyDescent="0.25">
      <c r="A226" s="32"/>
      <c r="D226" s="76"/>
      <c r="E226" s="76"/>
      <c r="F226" s="465"/>
    </row>
    <row r="227" spans="1:6" x14ac:dyDescent="0.25">
      <c r="A227" s="32"/>
      <c r="D227" s="75"/>
      <c r="E227" s="75"/>
      <c r="F227" s="465"/>
    </row>
    <row r="228" spans="1:6" ht="13.8" thickBot="1" x14ac:dyDescent="0.3">
      <c r="A228" s="32"/>
      <c r="D228" s="83"/>
      <c r="E228" s="77"/>
      <c r="F228" s="465"/>
    </row>
    <row r="229" spans="1:6" ht="13.8" thickTop="1" x14ac:dyDescent="0.25"/>
    <row r="233" spans="1:6" x14ac:dyDescent="0.25">
      <c r="B233" s="79"/>
      <c r="C233" s="80"/>
      <c r="D233" s="80"/>
      <c r="E233" s="69"/>
      <c r="F233" s="201"/>
    </row>
    <row r="234" spans="1:6" x14ac:dyDescent="0.25">
      <c r="B234" s="80"/>
      <c r="C234" s="80"/>
      <c r="D234" s="80"/>
      <c r="E234" s="69"/>
      <c r="F234" s="201"/>
    </row>
    <row r="235" spans="1:6" x14ac:dyDescent="0.25">
      <c r="B235" s="79"/>
      <c r="C235" s="80"/>
      <c r="D235" s="80"/>
      <c r="E235" s="69"/>
      <c r="F235" s="201"/>
    </row>
    <row r="236" spans="1:6" x14ac:dyDescent="0.25">
      <c r="B236" s="80"/>
      <c r="C236" s="80"/>
      <c r="D236" s="80"/>
      <c r="E236" s="69"/>
      <c r="F236" s="201"/>
    </row>
    <row r="237" spans="1:6" x14ac:dyDescent="0.25">
      <c r="B237" s="80"/>
      <c r="C237" s="80"/>
      <c r="D237" s="80"/>
      <c r="E237" s="69"/>
      <c r="F237" s="201"/>
    </row>
    <row r="238" spans="1:6" x14ac:dyDescent="0.25">
      <c r="B238" s="79"/>
      <c r="C238" s="80"/>
      <c r="D238" s="80"/>
      <c r="E238" s="69"/>
      <c r="F238" s="201"/>
    </row>
    <row r="239" spans="1:6" x14ac:dyDescent="0.25">
      <c r="B239" s="80"/>
      <c r="C239" s="80"/>
      <c r="D239" s="80"/>
      <c r="E239" s="69"/>
      <c r="F239" s="201"/>
    </row>
    <row r="240" spans="1:6" x14ac:dyDescent="0.25">
      <c r="A240" s="84"/>
      <c r="B240" s="85"/>
      <c r="C240" s="85"/>
      <c r="D240" s="85"/>
      <c r="E240" s="85"/>
      <c r="F240" s="201"/>
    </row>
    <row r="241" spans="1:6" x14ac:dyDescent="0.25">
      <c r="B241" s="80"/>
      <c r="C241" s="80"/>
      <c r="D241" s="80"/>
      <c r="E241" s="69"/>
      <c r="F241" s="201"/>
    </row>
    <row r="242" spans="1:6" x14ac:dyDescent="0.25">
      <c r="B242" s="80"/>
      <c r="C242" s="80"/>
      <c r="D242" s="80"/>
      <c r="E242" s="69"/>
      <c r="F242" s="201"/>
    </row>
    <row r="243" spans="1:6" x14ac:dyDescent="0.25">
      <c r="B243" s="79"/>
      <c r="C243" s="80"/>
      <c r="D243" s="80"/>
      <c r="E243" s="69"/>
      <c r="F243" s="201"/>
    </row>
    <row r="244" spans="1:6" x14ac:dyDescent="0.25">
      <c r="B244" s="79"/>
      <c r="C244" s="80"/>
      <c r="D244" s="80"/>
      <c r="E244" s="69"/>
      <c r="F244" s="201"/>
    </row>
    <row r="245" spans="1:6" x14ac:dyDescent="0.25">
      <c r="B245" s="78"/>
      <c r="C245" s="69"/>
      <c r="D245" s="71"/>
      <c r="E245" s="71"/>
      <c r="F245" s="467"/>
    </row>
    <row r="246" spans="1:6" x14ac:dyDescent="0.25">
      <c r="A246" s="32"/>
      <c r="B246" s="69"/>
      <c r="C246" s="69"/>
      <c r="D246" s="69"/>
      <c r="E246" s="69"/>
      <c r="F246" s="201"/>
    </row>
    <row r="247" spans="1:6" x14ac:dyDescent="0.25">
      <c r="A247" s="32"/>
      <c r="B247" s="69"/>
      <c r="C247" s="69"/>
      <c r="D247" s="73"/>
      <c r="E247" s="73"/>
      <c r="F247" s="201"/>
    </row>
    <row r="248" spans="1:6" x14ac:dyDescent="0.25">
      <c r="B248" s="69"/>
      <c r="C248" s="69"/>
      <c r="D248" s="75"/>
      <c r="E248" s="75"/>
      <c r="F248" s="201"/>
    </row>
    <row r="249" spans="1:6" x14ac:dyDescent="0.25">
      <c r="B249" s="69"/>
      <c r="C249" s="69"/>
      <c r="D249" s="75"/>
      <c r="E249" s="75"/>
      <c r="F249" s="201"/>
    </row>
    <row r="250" spans="1:6" x14ac:dyDescent="0.25">
      <c r="A250" s="32"/>
      <c r="D250" s="76"/>
      <c r="E250" s="76"/>
      <c r="F250" s="465"/>
    </row>
    <row r="251" spans="1:6" x14ac:dyDescent="0.25">
      <c r="A251" s="32"/>
      <c r="D251" s="75"/>
      <c r="E251" s="75"/>
      <c r="F251" s="465"/>
    </row>
    <row r="252" spans="1:6" ht="13.8" thickBot="1" x14ac:dyDescent="0.3">
      <c r="A252" s="32"/>
      <c r="D252" s="86"/>
      <c r="E252" s="77"/>
      <c r="F252" s="465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201"/>
    </row>
    <row r="258" spans="1:6" x14ac:dyDescent="0.25">
      <c r="A258" s="87"/>
      <c r="B258" s="90"/>
      <c r="C258" s="90"/>
      <c r="D258" s="90"/>
      <c r="E258" s="69"/>
      <c r="F258" s="201"/>
    </row>
    <row r="259" spans="1:6" x14ac:dyDescent="0.25">
      <c r="A259" s="87"/>
      <c r="B259" s="89"/>
      <c r="C259" s="90"/>
      <c r="D259" s="90"/>
      <c r="E259" s="69"/>
      <c r="F259" s="201"/>
    </row>
    <row r="260" spans="1:6" x14ac:dyDescent="0.25">
      <c r="A260" s="87"/>
      <c r="B260" s="90"/>
      <c r="C260" s="90"/>
      <c r="D260" s="90"/>
      <c r="E260" s="69"/>
      <c r="F260" s="201"/>
    </row>
    <row r="261" spans="1:6" x14ac:dyDescent="0.25">
      <c r="A261" s="87"/>
      <c r="B261" s="90"/>
      <c r="C261" s="90"/>
      <c r="D261" s="90"/>
      <c r="E261" s="69"/>
      <c r="F261" s="201"/>
    </row>
    <row r="262" spans="1:6" x14ac:dyDescent="0.25">
      <c r="A262" s="87"/>
      <c r="B262" s="89"/>
      <c r="C262" s="90"/>
      <c r="D262" s="90"/>
      <c r="E262" s="69"/>
      <c r="F262" s="201"/>
    </row>
    <row r="263" spans="1:6" x14ac:dyDescent="0.25">
      <c r="A263" s="87"/>
      <c r="B263" s="90"/>
      <c r="C263" s="90"/>
      <c r="D263" s="90"/>
      <c r="E263" s="69"/>
      <c r="F263" s="201"/>
    </row>
    <row r="264" spans="1:6" x14ac:dyDescent="0.25">
      <c r="A264" s="91"/>
      <c r="B264" s="92"/>
      <c r="C264" s="92"/>
      <c r="D264" s="92"/>
      <c r="E264" s="85"/>
      <c r="F264" s="201"/>
    </row>
    <row r="265" spans="1:6" x14ac:dyDescent="0.25">
      <c r="A265" s="87"/>
      <c r="B265" s="90"/>
      <c r="C265" s="90"/>
      <c r="D265" s="90"/>
      <c r="E265" s="69"/>
      <c r="F265" s="201"/>
    </row>
    <row r="266" spans="1:6" x14ac:dyDescent="0.25">
      <c r="A266" s="87"/>
      <c r="B266" s="90"/>
      <c r="C266" s="90"/>
      <c r="D266" s="90"/>
      <c r="E266" s="69"/>
      <c r="F266" s="201"/>
    </row>
    <row r="267" spans="1:6" x14ac:dyDescent="0.25">
      <c r="A267" s="87"/>
      <c r="B267" s="89"/>
      <c r="C267" s="90"/>
      <c r="D267" s="90"/>
      <c r="E267" s="69"/>
      <c r="F267" s="201"/>
    </row>
    <row r="268" spans="1:6" x14ac:dyDescent="0.25">
      <c r="A268" s="87"/>
      <c r="B268" s="89"/>
      <c r="C268" s="90"/>
      <c r="D268" s="90"/>
      <c r="E268" s="69"/>
      <c r="F268" s="201"/>
    </row>
    <row r="269" spans="1:6" x14ac:dyDescent="0.25">
      <c r="A269" s="87"/>
      <c r="B269" s="93"/>
      <c r="C269" s="88"/>
      <c r="D269" s="94"/>
      <c r="E269" s="71"/>
      <c r="F269" s="467"/>
    </row>
    <row r="270" spans="1:6" x14ac:dyDescent="0.25">
      <c r="A270" s="87"/>
      <c r="B270" s="88"/>
      <c r="C270" s="88"/>
      <c r="D270" s="88"/>
      <c r="E270" s="69"/>
      <c r="F270" s="201"/>
    </row>
    <row r="271" spans="1:6" x14ac:dyDescent="0.25">
      <c r="A271" s="87"/>
      <c r="B271" s="88"/>
      <c r="C271" s="88"/>
      <c r="D271" s="95"/>
      <c r="E271" s="73"/>
      <c r="F271" s="201"/>
    </row>
    <row r="272" spans="1:6" x14ac:dyDescent="0.25">
      <c r="A272" s="87"/>
      <c r="B272" s="88"/>
      <c r="C272" s="88"/>
      <c r="D272" s="96"/>
      <c r="E272" s="75"/>
      <c r="F272" s="201"/>
    </row>
    <row r="273" spans="1:6" x14ac:dyDescent="0.25">
      <c r="A273" s="87"/>
      <c r="B273" s="88"/>
      <c r="C273" s="88"/>
      <c r="D273" s="96"/>
      <c r="E273" s="75"/>
      <c r="F273" s="201"/>
    </row>
    <row r="274" spans="1:6" x14ac:dyDescent="0.25">
      <c r="A274" s="87"/>
      <c r="B274" s="88"/>
      <c r="C274" s="88"/>
      <c r="D274" s="97"/>
      <c r="E274" s="76"/>
      <c r="F274" s="465"/>
    </row>
    <row r="275" spans="1:6" x14ac:dyDescent="0.25">
      <c r="A275" s="87"/>
      <c r="B275" s="88"/>
      <c r="C275" s="88"/>
      <c r="D275" s="96"/>
      <c r="E275" s="75"/>
      <c r="F275" s="465"/>
    </row>
    <row r="276" spans="1:6" ht="13.8" thickBot="1" x14ac:dyDescent="0.3">
      <c r="A276" s="87"/>
      <c r="B276" s="88"/>
      <c r="C276" s="88"/>
      <c r="D276" s="98"/>
      <c r="E276" s="77"/>
      <c r="F276" s="465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201"/>
    </row>
    <row r="283" spans="1:6" x14ac:dyDescent="0.25">
      <c r="A283" s="87"/>
      <c r="B283" s="90"/>
      <c r="C283" s="90"/>
      <c r="D283" s="90"/>
      <c r="E283" s="69"/>
      <c r="F283" s="201"/>
    </row>
    <row r="284" spans="1:6" x14ac:dyDescent="0.25">
      <c r="A284" s="87"/>
      <c r="B284" s="89"/>
      <c r="C284" s="90"/>
      <c r="D284" s="90"/>
      <c r="E284" s="69"/>
      <c r="F284" s="201"/>
    </row>
    <row r="285" spans="1:6" x14ac:dyDescent="0.25">
      <c r="A285" s="87"/>
      <c r="B285" s="90"/>
      <c r="C285" s="90"/>
      <c r="D285" s="90"/>
      <c r="E285" s="69"/>
      <c r="F285" s="201"/>
    </row>
    <row r="286" spans="1:6" x14ac:dyDescent="0.25">
      <c r="A286" s="87"/>
      <c r="B286" s="90"/>
      <c r="C286" s="90"/>
      <c r="D286" s="90"/>
      <c r="E286" s="69"/>
      <c r="F286" s="201"/>
    </row>
    <row r="287" spans="1:6" x14ac:dyDescent="0.25">
      <c r="A287" s="87"/>
      <c r="B287" s="89"/>
      <c r="C287" s="90"/>
      <c r="D287" s="90"/>
      <c r="E287" s="69"/>
      <c r="F287" s="201"/>
    </row>
    <row r="288" spans="1:6" x14ac:dyDescent="0.25">
      <c r="A288" s="87"/>
      <c r="B288" s="90"/>
      <c r="C288" s="90"/>
      <c r="D288" s="90"/>
      <c r="E288" s="69"/>
      <c r="F288" s="201"/>
    </row>
    <row r="289" spans="1:6" x14ac:dyDescent="0.25">
      <c r="A289" s="91"/>
      <c r="B289" s="92"/>
      <c r="C289" s="92"/>
      <c r="D289" s="92"/>
      <c r="E289" s="85"/>
      <c r="F289" s="201"/>
    </row>
    <row r="290" spans="1:6" x14ac:dyDescent="0.25">
      <c r="A290" s="87"/>
      <c r="B290" s="90"/>
      <c r="C290" s="90"/>
      <c r="D290" s="90"/>
      <c r="E290" s="69"/>
      <c r="F290" s="201"/>
    </row>
    <row r="291" spans="1:6" x14ac:dyDescent="0.25">
      <c r="A291" s="87"/>
      <c r="B291" s="90"/>
      <c r="C291" s="90"/>
      <c r="D291" s="90"/>
      <c r="E291" s="69"/>
      <c r="F291" s="201"/>
    </row>
    <row r="292" spans="1:6" x14ac:dyDescent="0.25">
      <c r="A292" s="87"/>
      <c r="B292" s="89"/>
      <c r="C292" s="90"/>
      <c r="D292" s="90"/>
      <c r="E292" s="69"/>
      <c r="F292" s="201"/>
    </row>
    <row r="293" spans="1:6" x14ac:dyDescent="0.25">
      <c r="A293" s="87"/>
      <c r="B293" s="89"/>
      <c r="C293" s="90"/>
      <c r="D293" s="90"/>
      <c r="E293" s="69"/>
      <c r="F293" s="201"/>
    </row>
    <row r="294" spans="1:6" x14ac:dyDescent="0.25">
      <c r="A294" s="87"/>
      <c r="B294" s="93"/>
      <c r="C294" s="88"/>
      <c r="D294" s="94"/>
      <c r="E294" s="71"/>
      <c r="F294" s="467"/>
    </row>
    <row r="295" spans="1:6" x14ac:dyDescent="0.25">
      <c r="A295" s="87"/>
      <c r="B295" s="88"/>
      <c r="C295" s="88"/>
      <c r="D295" s="88"/>
      <c r="E295" s="69"/>
      <c r="F295" s="201"/>
    </row>
    <row r="296" spans="1:6" x14ac:dyDescent="0.25">
      <c r="A296" s="87"/>
      <c r="B296" s="88"/>
      <c r="C296" s="88"/>
      <c r="D296" s="95"/>
      <c r="E296" s="73"/>
      <c r="F296" s="201"/>
    </row>
    <row r="297" spans="1:6" x14ac:dyDescent="0.25">
      <c r="A297" s="87"/>
      <c r="B297" s="88"/>
      <c r="C297" s="88"/>
      <c r="D297" s="96"/>
      <c r="E297" s="75"/>
      <c r="F297" s="201"/>
    </row>
    <row r="298" spans="1:6" x14ac:dyDescent="0.25">
      <c r="A298" s="87"/>
      <c r="B298" s="88"/>
      <c r="C298" s="88"/>
      <c r="D298" s="96"/>
      <c r="E298" s="75"/>
      <c r="F298" s="201"/>
    </row>
    <row r="299" spans="1:6" x14ac:dyDescent="0.25">
      <c r="A299" s="99"/>
      <c r="B299" s="88"/>
      <c r="C299" s="88"/>
      <c r="D299" s="97"/>
      <c r="E299" s="76"/>
      <c r="F299" s="465"/>
    </row>
    <row r="300" spans="1:6" x14ac:dyDescent="0.25">
      <c r="A300" s="87"/>
      <c r="B300" s="88"/>
      <c r="C300" s="88"/>
      <c r="D300" s="96"/>
      <c r="E300" s="75"/>
      <c r="F300" s="465"/>
    </row>
    <row r="301" spans="1:6" ht="13.8" thickBot="1" x14ac:dyDescent="0.3">
      <c r="A301" s="87"/>
      <c r="B301" s="88"/>
      <c r="C301" s="88"/>
      <c r="D301" s="98"/>
      <c r="E301" s="77"/>
      <c r="F301" s="465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201"/>
    </row>
    <row r="310" spans="1:6" x14ac:dyDescent="0.25">
      <c r="A310" s="87"/>
      <c r="B310" s="90"/>
      <c r="C310" s="90"/>
      <c r="D310" s="90"/>
      <c r="E310" s="69"/>
      <c r="F310" s="201"/>
    </row>
    <row r="311" spans="1:6" x14ac:dyDescent="0.25">
      <c r="A311" s="87"/>
      <c r="B311" s="89"/>
      <c r="C311" s="90"/>
      <c r="D311" s="90"/>
      <c r="E311" s="69"/>
      <c r="F311" s="201"/>
    </row>
    <row r="312" spans="1:6" x14ac:dyDescent="0.25">
      <c r="A312" s="87"/>
      <c r="B312" s="90"/>
      <c r="C312" s="90"/>
      <c r="D312" s="90"/>
      <c r="E312" s="69"/>
      <c r="F312" s="201"/>
    </row>
    <row r="313" spans="1:6" x14ac:dyDescent="0.25">
      <c r="A313" s="87"/>
      <c r="B313" s="90"/>
      <c r="C313" s="90"/>
      <c r="D313" s="90"/>
      <c r="E313" s="69"/>
      <c r="F313" s="201"/>
    </row>
    <row r="314" spans="1:6" x14ac:dyDescent="0.25">
      <c r="A314" s="87"/>
      <c r="B314" s="89"/>
      <c r="C314" s="90"/>
      <c r="D314" s="90"/>
      <c r="E314" s="69"/>
      <c r="F314" s="201"/>
    </row>
    <row r="315" spans="1:6" x14ac:dyDescent="0.25">
      <c r="A315" s="87"/>
      <c r="B315" s="90"/>
      <c r="C315" s="90"/>
      <c r="D315" s="90"/>
      <c r="E315" s="69"/>
      <c r="F315" s="201"/>
    </row>
    <row r="316" spans="1:6" x14ac:dyDescent="0.25">
      <c r="A316" s="91"/>
      <c r="B316" s="92"/>
      <c r="C316" s="92"/>
      <c r="D316" s="92"/>
      <c r="E316" s="85"/>
      <c r="F316" s="201"/>
    </row>
    <row r="317" spans="1:6" x14ac:dyDescent="0.25">
      <c r="A317" s="87"/>
      <c r="B317" s="90"/>
      <c r="C317" s="90"/>
      <c r="D317" s="90"/>
      <c r="E317" s="69"/>
      <c r="F317" s="201"/>
    </row>
    <row r="318" spans="1:6" x14ac:dyDescent="0.25">
      <c r="A318" s="87"/>
      <c r="B318" s="90"/>
      <c r="C318" s="90"/>
      <c r="D318" s="90"/>
      <c r="E318" s="69"/>
      <c r="F318" s="201"/>
    </row>
    <row r="319" spans="1:6" x14ac:dyDescent="0.25">
      <c r="A319" s="87"/>
      <c r="B319" s="89"/>
      <c r="C319" s="90"/>
      <c r="D319" s="90"/>
      <c r="E319" s="69"/>
      <c r="F319" s="201"/>
    </row>
    <row r="320" spans="1:6" x14ac:dyDescent="0.25">
      <c r="A320" s="87"/>
      <c r="B320" s="89"/>
      <c r="C320" s="90"/>
      <c r="D320" s="90"/>
      <c r="E320" s="69"/>
      <c r="F320" s="201"/>
    </row>
    <row r="321" spans="1:6" x14ac:dyDescent="0.25">
      <c r="A321" s="87"/>
      <c r="B321" s="93"/>
      <c r="C321" s="88"/>
      <c r="D321" s="94"/>
      <c r="E321" s="71"/>
      <c r="F321" s="467"/>
    </row>
    <row r="322" spans="1:6" x14ac:dyDescent="0.25">
      <c r="A322" s="87"/>
      <c r="B322" s="88"/>
      <c r="C322" s="88"/>
      <c r="D322" s="88"/>
      <c r="E322" s="69"/>
      <c r="F322" s="201"/>
    </row>
    <row r="323" spans="1:6" x14ac:dyDescent="0.25">
      <c r="A323" s="87"/>
      <c r="B323" s="88"/>
      <c r="C323" s="88"/>
      <c r="D323" s="95"/>
      <c r="E323" s="73"/>
      <c r="F323" s="201"/>
    </row>
    <row r="324" spans="1:6" x14ac:dyDescent="0.25">
      <c r="A324" s="87"/>
      <c r="B324" s="88"/>
      <c r="C324" s="88"/>
      <c r="D324" s="96"/>
      <c r="E324" s="75"/>
      <c r="F324" s="201"/>
    </row>
    <row r="325" spans="1:6" x14ac:dyDescent="0.25">
      <c r="A325" s="87"/>
      <c r="B325" s="88"/>
      <c r="C325" s="88"/>
      <c r="D325" s="96"/>
      <c r="E325" s="75"/>
      <c r="F325" s="201"/>
    </row>
    <row r="326" spans="1:6" x14ac:dyDescent="0.25">
      <c r="A326" s="99"/>
      <c r="B326" s="88"/>
      <c r="C326" s="88"/>
      <c r="D326" s="97"/>
      <c r="E326" s="76"/>
      <c r="F326" s="465"/>
    </row>
    <row r="327" spans="1:6" x14ac:dyDescent="0.25">
      <c r="A327" s="87"/>
      <c r="B327" s="88"/>
      <c r="C327" s="88"/>
      <c r="D327" s="96"/>
      <c r="E327" s="75"/>
      <c r="F327" s="465"/>
    </row>
    <row r="328" spans="1:6" ht="13.8" thickBot="1" x14ac:dyDescent="0.3">
      <c r="A328" s="87"/>
      <c r="B328" s="88"/>
      <c r="C328" s="88"/>
      <c r="D328" s="98"/>
      <c r="E328" s="77"/>
      <c r="F328" s="465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topLeftCell="A24" workbookViewId="0">
      <selection activeCell="F43" sqref="F43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5" width="9.5546875" bestFit="1" customWidth="1"/>
    <col min="6" max="6" width="9.88671875" bestFit="1" customWidth="1"/>
    <col min="7" max="8" width="9.5546875" bestFit="1" customWidth="1"/>
    <col min="11" max="11" width="11.88671875" bestFit="1" customWidth="1"/>
    <col min="12" max="13" width="10" bestFit="1" customWidth="1"/>
    <col min="14" max="14" width="9.44140625" bestFit="1" customWidth="1"/>
    <col min="16" max="16" width="12" bestFit="1" customWidth="1"/>
    <col min="19" max="20" width="10.5546875" bestFit="1" customWidth="1"/>
    <col min="21" max="21" width="9.33203125" bestFit="1" customWidth="1"/>
    <col min="23" max="23" width="11.44140625" bestFit="1" customWidth="1"/>
  </cols>
  <sheetData>
    <row r="1" spans="1:26" x14ac:dyDescent="0.25">
      <c r="B1">
        <v>52862</v>
      </c>
      <c r="D1">
        <v>6828</v>
      </c>
      <c r="F1">
        <v>6838</v>
      </c>
    </row>
    <row r="2" spans="1:26" x14ac:dyDescent="0.25">
      <c r="B2" s="254" t="s">
        <v>19</v>
      </c>
      <c r="C2" s="254" t="s">
        <v>20</v>
      </c>
      <c r="D2" s="254" t="s">
        <v>19</v>
      </c>
      <c r="E2" s="254" t="s">
        <v>20</v>
      </c>
      <c r="F2" s="254" t="s">
        <v>19</v>
      </c>
      <c r="G2" s="254" t="s">
        <v>20</v>
      </c>
      <c r="H2" s="255" t="s">
        <v>49</v>
      </c>
    </row>
    <row r="3" spans="1:26" x14ac:dyDescent="0.25">
      <c r="A3">
        <v>1</v>
      </c>
      <c r="B3" s="90">
        <v>36628</v>
      </c>
      <c r="C3" s="90">
        <v>36611</v>
      </c>
      <c r="D3" s="90">
        <v>-62566</v>
      </c>
      <c r="E3" s="90">
        <v>-64614</v>
      </c>
      <c r="F3" s="90">
        <v>26856</v>
      </c>
      <c r="G3" s="90">
        <v>27482</v>
      </c>
      <c r="H3" s="90">
        <f>+E3-D3+C3-B3+G3-F3</f>
        <v>-1439</v>
      </c>
    </row>
    <row r="4" spans="1:26" x14ac:dyDescent="0.25">
      <c r="A4">
        <v>2</v>
      </c>
      <c r="B4" s="90">
        <v>36686</v>
      </c>
      <c r="C4" s="90">
        <v>36611</v>
      </c>
      <c r="D4" s="90"/>
      <c r="E4" s="90"/>
      <c r="F4" s="90">
        <v>27507</v>
      </c>
      <c r="G4" s="90">
        <v>27482</v>
      </c>
      <c r="H4" s="90">
        <f t="shared" ref="H4:H33" si="0">+E4-D4+C4-B4+G4-F4</f>
        <v>-100</v>
      </c>
    </row>
    <row r="5" spans="1:26" x14ac:dyDescent="0.25">
      <c r="A5">
        <v>3</v>
      </c>
      <c r="B5" s="90">
        <v>36629</v>
      </c>
      <c r="C5" s="90">
        <v>36611</v>
      </c>
      <c r="D5" s="90"/>
      <c r="E5" s="90"/>
      <c r="F5" s="90">
        <v>27519</v>
      </c>
      <c r="G5" s="90">
        <v>27482</v>
      </c>
      <c r="H5" s="90">
        <f t="shared" si="0"/>
        <v>-55</v>
      </c>
    </row>
    <row r="6" spans="1:26" x14ac:dyDescent="0.25">
      <c r="A6">
        <v>4</v>
      </c>
      <c r="B6" s="90">
        <v>36620</v>
      </c>
      <c r="C6" s="90">
        <v>36611</v>
      </c>
      <c r="D6" s="90"/>
      <c r="E6" s="90"/>
      <c r="F6" s="90">
        <v>27475</v>
      </c>
      <c r="G6" s="90">
        <v>27482</v>
      </c>
      <c r="H6" s="90">
        <f t="shared" si="0"/>
        <v>-2</v>
      </c>
      <c r="K6" t="s">
        <v>234</v>
      </c>
      <c r="R6" t="s">
        <v>235</v>
      </c>
    </row>
    <row r="7" spans="1:26" x14ac:dyDescent="0.25">
      <c r="A7">
        <v>5</v>
      </c>
      <c r="B7" s="90">
        <v>20050</v>
      </c>
      <c r="C7" s="90">
        <v>19611</v>
      </c>
      <c r="D7" s="90">
        <v>-316</v>
      </c>
      <c r="E7" s="90">
        <v>-21181</v>
      </c>
      <c r="F7" s="90">
        <v>27352</v>
      </c>
      <c r="G7" s="90">
        <v>27482</v>
      </c>
      <c r="H7" s="90">
        <f t="shared" si="0"/>
        <v>-21174</v>
      </c>
    </row>
    <row r="8" spans="1:26" x14ac:dyDescent="0.25">
      <c r="A8">
        <v>6</v>
      </c>
      <c r="B8" s="90">
        <v>26429</v>
      </c>
      <c r="C8" s="90">
        <v>23911</v>
      </c>
      <c r="D8" s="90">
        <v>-42783</v>
      </c>
      <c r="E8" s="90">
        <v>-41764</v>
      </c>
      <c r="F8" s="90">
        <v>27354</v>
      </c>
      <c r="G8" s="90">
        <v>27482</v>
      </c>
      <c r="H8" s="90">
        <f t="shared" si="0"/>
        <v>-1371</v>
      </c>
      <c r="K8" s="87" t="s">
        <v>39</v>
      </c>
      <c r="L8" s="87" t="s">
        <v>19</v>
      </c>
      <c r="M8" s="87" t="s">
        <v>20</v>
      </c>
      <c r="N8" s="87" t="s">
        <v>49</v>
      </c>
      <c r="O8" s="87" t="s">
        <v>15</v>
      </c>
      <c r="P8" s="87" t="s">
        <v>27</v>
      </c>
      <c r="Q8" s="87"/>
      <c r="R8" s="87" t="s">
        <v>39</v>
      </c>
      <c r="S8" s="87" t="s">
        <v>19</v>
      </c>
      <c r="T8" s="87" t="s">
        <v>20</v>
      </c>
      <c r="U8" s="87" t="s">
        <v>49</v>
      </c>
      <c r="V8" s="87" t="s">
        <v>15</v>
      </c>
      <c r="W8" s="87" t="s">
        <v>27</v>
      </c>
    </row>
    <row r="9" spans="1:26" ht="15.75" customHeight="1" x14ac:dyDescent="0.25">
      <c r="A9">
        <v>7</v>
      </c>
      <c r="B9" s="90">
        <v>20665</v>
      </c>
      <c r="C9" s="90">
        <v>20611</v>
      </c>
      <c r="D9" s="90">
        <v>-57914</v>
      </c>
      <c r="E9" s="90">
        <v>-58347</v>
      </c>
      <c r="F9" s="90">
        <v>27331</v>
      </c>
      <c r="G9" s="90">
        <v>27482</v>
      </c>
      <c r="H9" s="90">
        <f t="shared" si="0"/>
        <v>-336</v>
      </c>
      <c r="K9" s="445"/>
      <c r="L9" s="327"/>
      <c r="M9" s="327"/>
      <c r="N9" s="327"/>
      <c r="O9" s="444"/>
      <c r="P9" s="444"/>
      <c r="Q9" s="444"/>
      <c r="R9" s="445"/>
      <c r="S9" s="327"/>
      <c r="T9" s="327"/>
      <c r="U9" s="327"/>
      <c r="V9" s="444"/>
      <c r="W9" s="444"/>
    </row>
    <row r="10" spans="1:26" x14ac:dyDescent="0.25">
      <c r="A10">
        <v>8</v>
      </c>
      <c r="B10" s="90">
        <v>24643</v>
      </c>
      <c r="C10" s="90">
        <v>24611</v>
      </c>
      <c r="D10" s="90">
        <v>-64383</v>
      </c>
      <c r="E10" s="90">
        <v>-61514</v>
      </c>
      <c r="F10" s="90">
        <v>25361</v>
      </c>
      <c r="G10" s="90">
        <v>27482</v>
      </c>
      <c r="H10" s="90">
        <f t="shared" si="0"/>
        <v>4958</v>
      </c>
      <c r="K10" s="445">
        <v>37012</v>
      </c>
      <c r="L10" s="327">
        <v>1103057</v>
      </c>
      <c r="M10" s="327">
        <v>1120793</v>
      </c>
      <c r="N10" s="327">
        <f>+M10-L10</f>
        <v>17736</v>
      </c>
      <c r="O10" s="444">
        <v>4.01</v>
      </c>
      <c r="P10" s="444">
        <f>+N10*O10</f>
        <v>71121.36</v>
      </c>
      <c r="Q10" s="444"/>
      <c r="R10" s="445">
        <v>37012</v>
      </c>
      <c r="S10" s="327">
        <v>-202726</v>
      </c>
      <c r="T10" s="327">
        <v>-185000</v>
      </c>
      <c r="U10" s="327">
        <f t="shared" ref="U10:U15" si="1">+T10-S10</f>
        <v>17726</v>
      </c>
      <c r="V10" s="444">
        <v>4.01</v>
      </c>
      <c r="W10" s="444">
        <f>+U10*V10</f>
        <v>71081.259999999995</v>
      </c>
      <c r="Y10" s="446">
        <v>37012</v>
      </c>
      <c r="Z10">
        <v>4.01</v>
      </c>
    </row>
    <row r="11" spans="1:26" x14ac:dyDescent="0.25">
      <c r="A11">
        <v>9</v>
      </c>
      <c r="B11" s="90">
        <v>30250</v>
      </c>
      <c r="C11" s="90">
        <v>30611</v>
      </c>
      <c r="D11" s="90">
        <v>-14782</v>
      </c>
      <c r="E11" s="90">
        <v>-15514</v>
      </c>
      <c r="F11" s="90">
        <v>19818</v>
      </c>
      <c r="G11" s="90">
        <v>15654</v>
      </c>
      <c r="H11" s="90">
        <f t="shared" si="0"/>
        <v>-4535</v>
      </c>
      <c r="K11" s="445">
        <v>37043</v>
      </c>
      <c r="L11" s="327">
        <f>1647210-1647210+1654290</f>
        <v>1654290</v>
      </c>
      <c r="M11" s="327">
        <v>1681871</v>
      </c>
      <c r="N11" s="327">
        <f>+M11-L11</f>
        <v>27581</v>
      </c>
      <c r="O11" s="444">
        <v>3.51</v>
      </c>
      <c r="P11" s="444">
        <f>+N11*O11</f>
        <v>96809.31</v>
      </c>
      <c r="Q11" s="444"/>
      <c r="R11" s="445">
        <v>37043</v>
      </c>
      <c r="S11" s="327">
        <v>-153623</v>
      </c>
      <c r="T11" s="327">
        <v>-88473</v>
      </c>
      <c r="U11" s="327">
        <f t="shared" si="1"/>
        <v>65150</v>
      </c>
      <c r="V11" s="444">
        <v>3.51</v>
      </c>
      <c r="W11" s="444">
        <f>+U11*V11</f>
        <v>228676.5</v>
      </c>
      <c r="Y11" s="446">
        <v>37043</v>
      </c>
      <c r="Z11">
        <v>3.51</v>
      </c>
    </row>
    <row r="12" spans="1:26" x14ac:dyDescent="0.25">
      <c r="A12">
        <v>10</v>
      </c>
      <c r="B12" s="90">
        <v>30614</v>
      </c>
      <c r="C12" s="90">
        <v>30611</v>
      </c>
      <c r="D12" s="90">
        <v>-16529</v>
      </c>
      <c r="E12" s="90">
        <v>-15514</v>
      </c>
      <c r="F12" s="90">
        <v>19928</v>
      </c>
      <c r="G12" s="90">
        <v>15560</v>
      </c>
      <c r="H12" s="90">
        <f t="shared" si="0"/>
        <v>-3356</v>
      </c>
      <c r="K12" s="445">
        <v>37073</v>
      </c>
      <c r="L12" s="327">
        <f>1305497-1305497+1309597</f>
        <v>1309597</v>
      </c>
      <c r="M12" s="327">
        <v>1270571</v>
      </c>
      <c r="N12" s="327">
        <f>+M12-L12</f>
        <v>-39026</v>
      </c>
      <c r="O12" s="444">
        <v>2.94</v>
      </c>
      <c r="P12" s="444">
        <f>+N12*O12</f>
        <v>-114736.44</v>
      </c>
      <c r="Q12" s="444"/>
      <c r="R12" s="445">
        <v>37104</v>
      </c>
      <c r="S12" s="327">
        <v>-34269</v>
      </c>
      <c r="T12" s="327">
        <v>-27046</v>
      </c>
      <c r="U12" s="327">
        <f t="shared" si="1"/>
        <v>7223</v>
      </c>
      <c r="V12" s="444">
        <v>2.85</v>
      </c>
      <c r="W12" s="444">
        <f>+U12*V12</f>
        <v>20585.55</v>
      </c>
      <c r="Y12" s="446">
        <v>37073</v>
      </c>
      <c r="Z12">
        <v>2.94</v>
      </c>
    </row>
    <row r="13" spans="1:26" x14ac:dyDescent="0.25">
      <c r="A13">
        <v>11</v>
      </c>
      <c r="B13" s="90"/>
      <c r="C13" s="90"/>
      <c r="D13" s="90"/>
      <c r="E13" s="90"/>
      <c r="F13" s="90"/>
      <c r="G13" s="90"/>
      <c r="H13" s="90">
        <f t="shared" si="0"/>
        <v>0</v>
      </c>
      <c r="K13" s="445">
        <v>37104</v>
      </c>
      <c r="L13" s="327">
        <f>1436775-1436775+1438269</f>
        <v>1438269</v>
      </c>
      <c r="M13" s="327">
        <v>1418897</v>
      </c>
      <c r="N13" s="327">
        <f>+M13-L13</f>
        <v>-19372</v>
      </c>
      <c r="O13" s="444">
        <v>2.85</v>
      </c>
      <c r="P13" s="444">
        <f>+N13*O13</f>
        <v>-55210.200000000004</v>
      </c>
      <c r="Q13" s="444"/>
      <c r="R13" s="445">
        <v>37135</v>
      </c>
      <c r="S13" s="327">
        <v>-1191628</v>
      </c>
      <c r="T13" s="327">
        <v>-1210937</v>
      </c>
      <c r="U13" s="327">
        <f t="shared" si="1"/>
        <v>-19309</v>
      </c>
      <c r="V13" s="444">
        <v>1.96</v>
      </c>
      <c r="W13" s="444">
        <f>+U13*V13</f>
        <v>-37845.64</v>
      </c>
      <c r="Y13" s="446">
        <v>37104</v>
      </c>
      <c r="Z13">
        <v>2.85</v>
      </c>
    </row>
    <row r="14" spans="1:26" x14ac:dyDescent="0.25">
      <c r="A14">
        <v>12</v>
      </c>
      <c r="B14" s="88"/>
      <c r="C14" s="90"/>
      <c r="D14" s="88"/>
      <c r="E14" s="88"/>
      <c r="F14" s="88"/>
      <c r="G14" s="88"/>
      <c r="H14" s="90">
        <f t="shared" si="0"/>
        <v>0</v>
      </c>
      <c r="K14" s="445">
        <v>37135</v>
      </c>
      <c r="L14" s="327">
        <v>1109912</v>
      </c>
      <c r="M14" s="327">
        <v>1111335</v>
      </c>
      <c r="N14" s="327">
        <f>+M14-L14</f>
        <v>1423</v>
      </c>
      <c r="O14" s="444">
        <v>1.96</v>
      </c>
      <c r="P14" s="447">
        <f>+N14*O14</f>
        <v>2789.08</v>
      </c>
      <c r="Q14" s="444"/>
      <c r="R14" s="445"/>
      <c r="S14" s="327"/>
      <c r="T14" s="327"/>
      <c r="U14" s="327">
        <f t="shared" si="1"/>
        <v>0</v>
      </c>
      <c r="V14" s="444"/>
      <c r="W14" s="444"/>
      <c r="Y14" s="446">
        <v>37135</v>
      </c>
      <c r="Z14">
        <v>1.96</v>
      </c>
    </row>
    <row r="15" spans="1:26" x14ac:dyDescent="0.25">
      <c r="A15">
        <v>13</v>
      </c>
      <c r="B15" s="88"/>
      <c r="C15" s="88"/>
      <c r="D15" s="88"/>
      <c r="E15" s="88"/>
      <c r="F15" s="88"/>
      <c r="G15" s="88"/>
      <c r="H15" s="90">
        <f t="shared" si="0"/>
        <v>0</v>
      </c>
      <c r="K15" s="445"/>
      <c r="L15" s="327"/>
      <c r="M15" s="327"/>
      <c r="N15" s="327"/>
      <c r="O15" s="444"/>
      <c r="P15" s="444"/>
      <c r="Q15" s="444"/>
      <c r="R15" s="445"/>
      <c r="S15" s="327"/>
      <c r="T15" s="327"/>
      <c r="U15" s="327">
        <f t="shared" si="1"/>
        <v>0</v>
      </c>
      <c r="V15" s="444"/>
      <c r="W15" s="444"/>
    </row>
    <row r="16" spans="1:26" x14ac:dyDescent="0.25">
      <c r="A16">
        <v>14</v>
      </c>
      <c r="B16" s="88"/>
      <c r="C16" s="88"/>
      <c r="D16" s="88"/>
      <c r="E16" s="88"/>
      <c r="F16" s="88"/>
      <c r="G16" s="88"/>
      <c r="H16" s="90">
        <f t="shared" si="0"/>
        <v>0</v>
      </c>
      <c r="K16" s="445" t="s">
        <v>236</v>
      </c>
      <c r="L16" s="327"/>
      <c r="M16" s="327"/>
      <c r="N16" s="327">
        <f>SUM(N10:N15)</f>
        <v>-11658</v>
      </c>
      <c r="O16" s="444"/>
      <c r="P16" s="444">
        <f>SUM(P9:P15)</f>
        <v>773.10999999997694</v>
      </c>
      <c r="Q16" s="444"/>
      <c r="R16" s="445" t="s">
        <v>236</v>
      </c>
      <c r="S16" s="327"/>
      <c r="T16" s="327"/>
      <c r="U16" s="327">
        <f>SUM(U9:U15)</f>
        <v>70790</v>
      </c>
      <c r="V16" s="444"/>
      <c r="W16" s="444">
        <f>SUM(W9:W15)</f>
        <v>282497.67</v>
      </c>
    </row>
    <row r="17" spans="1:23" x14ac:dyDescent="0.25">
      <c r="A17">
        <v>15</v>
      </c>
      <c r="B17" s="88"/>
      <c r="C17" s="88"/>
      <c r="D17" s="327"/>
      <c r="E17" s="327"/>
      <c r="F17" s="327"/>
      <c r="G17" s="327"/>
      <c r="H17" s="90">
        <f t="shared" si="0"/>
        <v>0</v>
      </c>
    </row>
    <row r="18" spans="1:23" x14ac:dyDescent="0.25">
      <c r="A18">
        <v>16</v>
      </c>
      <c r="B18" s="88"/>
      <c r="C18" s="88"/>
      <c r="D18" s="327"/>
      <c r="E18" s="327"/>
      <c r="F18" s="327"/>
      <c r="G18" s="327"/>
      <c r="H18" s="90">
        <f t="shared" si="0"/>
        <v>0</v>
      </c>
      <c r="K18" s="445" t="s">
        <v>237</v>
      </c>
      <c r="L18" s="327"/>
      <c r="M18" s="327"/>
      <c r="N18" s="327">
        <v>19880</v>
      </c>
      <c r="O18" s="444"/>
      <c r="P18" s="444"/>
      <c r="Q18" s="444"/>
      <c r="R18" s="445" t="s">
        <v>237</v>
      </c>
      <c r="S18" s="327"/>
      <c r="T18" s="327"/>
      <c r="U18" s="327">
        <v>37185</v>
      </c>
      <c r="V18" s="444"/>
      <c r="W18" s="444"/>
    </row>
    <row r="19" spans="1:23" x14ac:dyDescent="0.25">
      <c r="A19">
        <v>17</v>
      </c>
      <c r="B19" s="88"/>
      <c r="C19" s="88"/>
      <c r="D19" s="327"/>
      <c r="E19" s="327"/>
      <c r="F19" s="327"/>
      <c r="G19" s="327"/>
      <c r="H19" s="90">
        <f t="shared" si="0"/>
        <v>0</v>
      </c>
      <c r="K19" s="445"/>
      <c r="L19" s="327"/>
      <c r="M19" s="327"/>
      <c r="N19" s="327"/>
      <c r="O19" s="444"/>
      <c r="P19" s="444"/>
      <c r="Q19" s="444"/>
      <c r="R19" s="445"/>
      <c r="S19" s="327"/>
      <c r="T19" s="327"/>
      <c r="U19" s="327"/>
      <c r="V19" s="444"/>
      <c r="W19" s="444"/>
    </row>
    <row r="20" spans="1:23" x14ac:dyDescent="0.25">
      <c r="A20">
        <v>18</v>
      </c>
      <c r="B20" s="327"/>
      <c r="C20" s="327"/>
      <c r="D20" s="327"/>
      <c r="E20" s="327"/>
      <c r="F20" s="327"/>
      <c r="G20" s="327"/>
      <c r="H20" s="90">
        <f t="shared" si="0"/>
        <v>0</v>
      </c>
      <c r="K20" s="445"/>
      <c r="L20" s="327"/>
      <c r="M20" s="327"/>
      <c r="N20" s="327"/>
      <c r="O20" s="444"/>
      <c r="P20" s="444"/>
      <c r="Q20" s="444"/>
      <c r="R20" s="445"/>
      <c r="S20" s="327"/>
      <c r="T20" s="327"/>
      <c r="U20" s="327"/>
      <c r="V20" s="444"/>
      <c r="W20" s="444"/>
    </row>
    <row r="21" spans="1:23" x14ac:dyDescent="0.25">
      <c r="A21">
        <v>19</v>
      </c>
      <c r="B21" s="327"/>
      <c r="C21" s="327"/>
      <c r="D21" s="327"/>
      <c r="E21" s="327"/>
      <c r="F21" s="327"/>
      <c r="G21" s="327"/>
      <c r="H21" s="90">
        <f t="shared" si="0"/>
        <v>0</v>
      </c>
      <c r="K21" s="445"/>
      <c r="L21" s="327"/>
      <c r="M21" s="327"/>
      <c r="N21" s="327"/>
      <c r="O21" s="444"/>
      <c r="P21" s="444"/>
      <c r="Q21" s="444"/>
      <c r="R21" s="445"/>
      <c r="S21" s="327"/>
      <c r="T21" s="327"/>
      <c r="U21" s="327"/>
      <c r="V21" s="444"/>
      <c r="W21" s="444"/>
    </row>
    <row r="22" spans="1:23" x14ac:dyDescent="0.25">
      <c r="A22">
        <v>20</v>
      </c>
      <c r="B22" s="426"/>
      <c r="C22" s="327"/>
      <c r="D22" s="327"/>
      <c r="E22" s="327"/>
      <c r="F22" s="327"/>
      <c r="G22" s="327"/>
      <c r="H22" s="90">
        <f t="shared" si="0"/>
        <v>0</v>
      </c>
      <c r="K22" s="445"/>
      <c r="L22" s="327"/>
      <c r="M22" s="327"/>
      <c r="N22" s="327"/>
      <c r="O22" s="444"/>
      <c r="P22" s="444"/>
      <c r="Q22" s="444"/>
      <c r="R22" s="445"/>
      <c r="S22" s="327"/>
      <c r="T22" s="327"/>
      <c r="U22" s="327"/>
      <c r="V22" s="444"/>
      <c r="W22" s="444"/>
    </row>
    <row r="23" spans="1:23" x14ac:dyDescent="0.25">
      <c r="A23">
        <v>21</v>
      </c>
      <c r="B23" s="327"/>
      <c r="C23" s="327"/>
      <c r="D23" s="327"/>
      <c r="E23" s="327"/>
      <c r="F23" s="327"/>
      <c r="G23" s="327"/>
      <c r="H23" s="90">
        <f t="shared" si="0"/>
        <v>0</v>
      </c>
      <c r="K23" s="445"/>
      <c r="L23" s="327"/>
      <c r="M23" s="327"/>
      <c r="N23" s="327"/>
      <c r="O23" s="444"/>
      <c r="P23" s="444"/>
      <c r="Q23" s="444"/>
      <c r="R23" s="445"/>
      <c r="S23" s="327"/>
      <c r="T23" s="327"/>
      <c r="U23" s="327"/>
      <c r="V23" s="444"/>
      <c r="W23" s="444"/>
    </row>
    <row r="24" spans="1:23" x14ac:dyDescent="0.25">
      <c r="A24">
        <v>22</v>
      </c>
      <c r="B24" s="327"/>
      <c r="C24" s="327"/>
      <c r="D24" s="327"/>
      <c r="E24" s="327"/>
      <c r="F24" s="327"/>
      <c r="G24" s="327"/>
      <c r="H24" s="90">
        <f t="shared" si="0"/>
        <v>0</v>
      </c>
      <c r="K24" s="87"/>
      <c r="L24" s="87"/>
      <c r="M24" s="87"/>
      <c r="N24" s="87"/>
      <c r="O24" s="444"/>
      <c r="P24" s="444"/>
      <c r="Q24" s="444"/>
      <c r="R24" s="87"/>
      <c r="S24" s="87"/>
      <c r="T24" s="87"/>
      <c r="U24" s="327"/>
      <c r="V24" s="444"/>
      <c r="W24" s="444"/>
    </row>
    <row r="25" spans="1:23" x14ac:dyDescent="0.25">
      <c r="A25">
        <v>23</v>
      </c>
      <c r="B25" s="426"/>
      <c r="C25" s="327"/>
      <c r="D25" s="327"/>
      <c r="E25" s="327"/>
      <c r="F25" s="327"/>
      <c r="G25" s="327"/>
      <c r="H25" s="90">
        <f t="shared" si="0"/>
        <v>0</v>
      </c>
      <c r="K25" s="87"/>
      <c r="L25" s="87"/>
      <c r="M25" s="87"/>
      <c r="N25" s="87"/>
      <c r="O25" s="444"/>
      <c r="P25" s="444"/>
      <c r="Q25" s="444"/>
      <c r="R25" s="87"/>
      <c r="S25" s="87"/>
      <c r="T25" s="87"/>
      <c r="U25" s="327"/>
      <c r="V25" s="444"/>
      <c r="W25" s="444"/>
    </row>
    <row r="26" spans="1:23" x14ac:dyDescent="0.25">
      <c r="A26">
        <v>24</v>
      </c>
      <c r="B26" s="327"/>
      <c r="C26" s="327"/>
      <c r="D26" s="327"/>
      <c r="E26" s="327"/>
      <c r="F26" s="327"/>
      <c r="G26" s="327"/>
      <c r="H26" s="90">
        <f t="shared" si="0"/>
        <v>0</v>
      </c>
      <c r="K26" s="87"/>
      <c r="L26" s="87"/>
      <c r="M26" s="87"/>
      <c r="N26" s="87"/>
      <c r="O26" s="444"/>
      <c r="P26" s="444"/>
      <c r="Q26" s="444"/>
      <c r="R26" s="87"/>
      <c r="S26" s="87"/>
      <c r="T26" s="87"/>
      <c r="U26" s="327"/>
      <c r="V26" s="444"/>
      <c r="W26" s="444"/>
    </row>
    <row r="27" spans="1:23" x14ac:dyDescent="0.25">
      <c r="A27">
        <v>25</v>
      </c>
      <c r="B27" s="327"/>
      <c r="C27" s="327"/>
      <c r="D27" s="327"/>
      <c r="E27" s="327"/>
      <c r="F27" s="327"/>
      <c r="G27" s="327"/>
      <c r="H27" s="90">
        <f t="shared" si="0"/>
        <v>0</v>
      </c>
      <c r="K27" s="87"/>
      <c r="L27" s="87"/>
      <c r="M27" s="87"/>
      <c r="N27" s="87"/>
      <c r="O27" s="444"/>
      <c r="P27" s="444"/>
      <c r="Q27" s="444"/>
      <c r="R27" s="87"/>
      <c r="S27" s="87"/>
      <c r="T27" s="87"/>
      <c r="U27" s="327"/>
      <c r="V27" s="444"/>
      <c r="W27" s="444"/>
    </row>
    <row r="28" spans="1:23" x14ac:dyDescent="0.25">
      <c r="A28">
        <v>26</v>
      </c>
      <c r="B28" s="327"/>
      <c r="C28" s="327"/>
      <c r="D28" s="14"/>
      <c r="E28" s="14"/>
      <c r="F28" s="14"/>
      <c r="G28" s="14"/>
      <c r="H28" s="90">
        <f t="shared" si="0"/>
        <v>0</v>
      </c>
      <c r="K28" s="87"/>
      <c r="L28" s="87"/>
      <c r="M28" s="87"/>
      <c r="N28" s="87"/>
      <c r="O28" s="444"/>
      <c r="P28" s="444"/>
      <c r="Q28" s="444"/>
      <c r="R28" s="87"/>
      <c r="S28" s="87"/>
      <c r="T28" s="87"/>
      <c r="U28" s="87"/>
      <c r="V28" s="444"/>
      <c r="W28" s="444"/>
    </row>
    <row r="29" spans="1:23" x14ac:dyDescent="0.25">
      <c r="A29">
        <v>27</v>
      </c>
      <c r="B29" s="327"/>
      <c r="C29" s="327"/>
      <c r="D29" s="14"/>
      <c r="E29" s="14"/>
      <c r="F29" s="14"/>
      <c r="G29" s="14"/>
      <c r="H29" s="90">
        <f t="shared" si="0"/>
        <v>0</v>
      </c>
      <c r="K29" s="87"/>
      <c r="L29" s="87"/>
      <c r="M29" s="87"/>
      <c r="N29" s="87"/>
      <c r="O29" s="444"/>
      <c r="P29" s="444"/>
      <c r="Q29" s="444"/>
      <c r="R29" s="87"/>
      <c r="S29" s="87"/>
      <c r="T29" s="87"/>
      <c r="U29" s="87"/>
      <c r="V29" s="444"/>
      <c r="W29" s="444"/>
    </row>
    <row r="30" spans="1:23" x14ac:dyDescent="0.25">
      <c r="A30">
        <v>28</v>
      </c>
      <c r="B30" s="426"/>
      <c r="C30" s="327"/>
      <c r="D30" s="14"/>
      <c r="E30" s="14"/>
      <c r="F30" s="14"/>
      <c r="G30" s="14"/>
      <c r="H30" s="90">
        <f t="shared" si="0"/>
        <v>0</v>
      </c>
      <c r="K30" s="87"/>
      <c r="L30" s="87"/>
      <c r="M30" s="87"/>
      <c r="N30" s="87"/>
      <c r="O30" s="444"/>
      <c r="P30" s="444"/>
      <c r="Q30" s="444"/>
      <c r="R30" s="87"/>
      <c r="S30" s="87"/>
      <c r="T30" s="87"/>
      <c r="U30" s="87"/>
      <c r="V30" s="444"/>
      <c r="W30" s="444"/>
    </row>
    <row r="31" spans="1:23" x14ac:dyDescent="0.25">
      <c r="A31">
        <v>29</v>
      </c>
      <c r="B31" s="327"/>
      <c r="C31" s="327"/>
      <c r="D31" s="14"/>
      <c r="E31" s="14"/>
      <c r="F31" s="14"/>
      <c r="G31" s="14"/>
      <c r="H31" s="90">
        <f t="shared" si="0"/>
        <v>0</v>
      </c>
      <c r="K31" s="87"/>
      <c r="L31" s="87"/>
      <c r="M31" s="87"/>
      <c r="N31" s="87"/>
      <c r="O31" s="444"/>
      <c r="P31" s="444"/>
      <c r="Q31" s="444"/>
      <c r="R31" s="87"/>
      <c r="S31" s="87"/>
      <c r="T31" s="87"/>
      <c r="U31" s="87"/>
      <c r="V31" s="444"/>
      <c r="W31" s="444"/>
    </row>
    <row r="32" spans="1:23" x14ac:dyDescent="0.25">
      <c r="A32">
        <v>30</v>
      </c>
      <c r="B32" s="327"/>
      <c r="C32" s="327"/>
      <c r="D32" s="14"/>
      <c r="E32" s="14"/>
      <c r="F32" s="14"/>
      <c r="G32" s="14"/>
      <c r="H32" s="90">
        <f t="shared" si="0"/>
        <v>0</v>
      </c>
      <c r="O32" s="259"/>
      <c r="P32" s="259"/>
      <c r="Q32" s="259"/>
      <c r="R32">
        <v>10000</v>
      </c>
      <c r="S32">
        <v>2</v>
      </c>
      <c r="T32">
        <f>+S32*R32</f>
        <v>20000</v>
      </c>
      <c r="V32" s="259"/>
      <c r="W32" s="259"/>
    </row>
    <row r="33" spans="1:23" x14ac:dyDescent="0.25">
      <c r="A33">
        <v>31</v>
      </c>
      <c r="B33" s="327"/>
      <c r="C33" s="327"/>
      <c r="D33" s="14"/>
      <c r="E33" s="14"/>
      <c r="F33" s="14"/>
      <c r="G33" s="14"/>
      <c r="H33" s="90">
        <f t="shared" si="0"/>
        <v>0</v>
      </c>
      <c r="O33" s="259"/>
      <c r="P33" s="259"/>
      <c r="Q33" s="259"/>
      <c r="R33">
        <v>-10000</v>
      </c>
      <c r="S33">
        <v>1.5</v>
      </c>
      <c r="T33">
        <f>+S33*R33</f>
        <v>-15000</v>
      </c>
      <c r="V33" s="259"/>
      <c r="W33" s="259"/>
    </row>
    <row r="34" spans="1:23" x14ac:dyDescent="0.25">
      <c r="B34" s="287">
        <f t="shared" ref="B34:H34" si="2">SUM(B3:B33)</f>
        <v>299214</v>
      </c>
      <c r="C34" s="287">
        <f t="shared" si="2"/>
        <v>296410</v>
      </c>
      <c r="D34" s="14">
        <f t="shared" si="2"/>
        <v>-259273</v>
      </c>
      <c r="E34" s="14">
        <f t="shared" si="2"/>
        <v>-278448</v>
      </c>
      <c r="F34" s="14">
        <f t="shared" si="2"/>
        <v>256501</v>
      </c>
      <c r="G34" s="14">
        <f t="shared" si="2"/>
        <v>251070</v>
      </c>
      <c r="H34" s="14">
        <f t="shared" si="2"/>
        <v>-27410</v>
      </c>
      <c r="O34" s="259"/>
      <c r="P34" s="259"/>
      <c r="Q34" s="259"/>
      <c r="T34">
        <f>+T33+T32</f>
        <v>5000</v>
      </c>
      <c r="V34" s="259"/>
      <c r="W34" s="259"/>
    </row>
    <row r="35" spans="1:23" x14ac:dyDescent="0.25">
      <c r="D35" s="14"/>
      <c r="E35" s="14"/>
      <c r="F35" s="14"/>
      <c r="G35" s="14"/>
      <c r="H35" s="14"/>
      <c r="O35" s="259"/>
      <c r="P35" s="259"/>
      <c r="Q35" s="259"/>
      <c r="V35" s="259"/>
      <c r="W35" s="259"/>
    </row>
    <row r="36" spans="1:23" x14ac:dyDescent="0.25">
      <c r="H36" s="570"/>
      <c r="O36" s="259"/>
      <c r="P36" s="259"/>
      <c r="Q36" s="259"/>
      <c r="V36" s="259"/>
      <c r="W36" s="259"/>
    </row>
    <row r="37" spans="1:23" x14ac:dyDescent="0.25">
      <c r="A37" s="256">
        <v>37315</v>
      </c>
      <c r="B37" s="14"/>
      <c r="C37" s="14"/>
      <c r="D37" s="14"/>
      <c r="E37" s="14"/>
      <c r="F37" s="14"/>
      <c r="G37" s="14"/>
      <c r="H37" s="567">
        <f>8222+127244-171166</f>
        <v>-35700</v>
      </c>
      <c r="O37" s="259"/>
      <c r="P37" s="259"/>
      <c r="Q37" s="259"/>
      <c r="V37" s="259"/>
      <c r="W37" s="259"/>
    </row>
    <row r="38" spans="1:23" x14ac:dyDescent="0.25">
      <c r="A38" s="539">
        <v>37324</v>
      </c>
      <c r="B38" s="14"/>
      <c r="C38" s="14"/>
      <c r="D38" s="14"/>
      <c r="E38" s="14"/>
      <c r="F38" s="14"/>
      <c r="G38" s="14"/>
      <c r="H38" s="150">
        <f>+H37+H34</f>
        <v>-63110</v>
      </c>
      <c r="O38" s="259"/>
      <c r="P38" s="259"/>
      <c r="Q38" s="259"/>
    </row>
    <row r="39" spans="1:23" x14ac:dyDescent="0.25">
      <c r="H39" s="290"/>
      <c r="O39" s="259"/>
      <c r="P39" s="259"/>
      <c r="Q39" s="259"/>
    </row>
    <row r="40" spans="1:23" x14ac:dyDescent="0.25">
      <c r="H40" s="290"/>
      <c r="K40" s="343"/>
      <c r="O40" s="259"/>
      <c r="P40" s="259"/>
      <c r="Q40" s="259"/>
    </row>
    <row r="41" spans="1:23" x14ac:dyDescent="0.25">
      <c r="H41" s="290"/>
      <c r="K41" s="343"/>
      <c r="O41" s="259"/>
      <c r="P41" s="259"/>
      <c r="Q41" s="259"/>
    </row>
    <row r="42" spans="1:23" x14ac:dyDescent="0.25">
      <c r="A42" s="32" t="s">
        <v>149</v>
      </c>
      <c r="B42" s="32"/>
      <c r="C42" s="32"/>
      <c r="D42" s="47"/>
      <c r="F42" s="47"/>
      <c r="H42" s="293"/>
      <c r="K42" s="343"/>
      <c r="O42" s="259"/>
      <c r="P42" s="259"/>
      <c r="Q42" s="259"/>
    </row>
    <row r="43" spans="1:23" x14ac:dyDescent="0.25">
      <c r="A43" s="49">
        <f>+A37</f>
        <v>37315</v>
      </c>
      <c r="B43" s="32"/>
      <c r="C43" s="32"/>
      <c r="D43" s="565">
        <v>146195</v>
      </c>
      <c r="F43" s="483">
        <v>338741</v>
      </c>
      <c r="H43" s="290"/>
      <c r="I43" s="31"/>
      <c r="K43" s="343"/>
      <c r="O43" s="259"/>
      <c r="P43" s="259"/>
      <c r="Q43" s="259"/>
    </row>
    <row r="44" spans="1:23" x14ac:dyDescent="0.25">
      <c r="A44" s="49">
        <f>+A38</f>
        <v>37324</v>
      </c>
      <c r="B44" s="32"/>
      <c r="C44" s="32"/>
      <c r="D44" s="373">
        <f>+H34*'by type_area'!G4</f>
        <v>-67976.800000000003</v>
      </c>
      <c r="F44" s="373">
        <f>+J34*'by type_area'!I4</f>
        <v>0</v>
      </c>
      <c r="H44" s="290"/>
      <c r="K44" s="343"/>
      <c r="O44" s="259"/>
      <c r="P44" s="259"/>
      <c r="Q44" s="259"/>
    </row>
    <row r="45" spans="1:23" x14ac:dyDescent="0.25">
      <c r="A45" s="32"/>
      <c r="B45" s="32"/>
      <c r="C45" s="32"/>
      <c r="D45" s="200">
        <f>+D44+D43</f>
        <v>78218.2</v>
      </c>
      <c r="F45" s="200">
        <f>+F44+F43</f>
        <v>338741</v>
      </c>
      <c r="H45" s="290"/>
      <c r="K45" s="495"/>
      <c r="O45" s="259"/>
      <c r="P45" s="259"/>
      <c r="Q45" s="259"/>
    </row>
    <row r="46" spans="1:23" x14ac:dyDescent="0.25">
      <c r="H46" s="290"/>
      <c r="K46" s="343"/>
      <c r="O46" s="259"/>
      <c r="P46" s="259"/>
      <c r="Q46" s="259"/>
    </row>
    <row r="47" spans="1:23" x14ac:dyDescent="0.25">
      <c r="H47" s="290"/>
      <c r="O47" s="259"/>
      <c r="P47" s="259"/>
      <c r="Q47" s="259"/>
    </row>
    <row r="48" spans="1:23" x14ac:dyDescent="0.25">
      <c r="H48" s="290"/>
      <c r="O48" s="259"/>
      <c r="P48" s="259"/>
      <c r="Q48" s="259"/>
    </row>
    <row r="49" spans="15:17" x14ac:dyDescent="0.25">
      <c r="O49" s="259"/>
      <c r="P49" s="259"/>
      <c r="Q49" s="259"/>
    </row>
    <row r="50" spans="15:17" x14ac:dyDescent="0.25">
      <c r="O50" s="259"/>
      <c r="P50" s="259"/>
      <c r="Q50" s="259"/>
    </row>
    <row r="51" spans="15:17" x14ac:dyDescent="0.25">
      <c r="O51" s="259"/>
      <c r="P51" s="259"/>
      <c r="Q51" s="259"/>
    </row>
    <row r="52" spans="15:17" x14ac:dyDescent="0.25">
      <c r="O52" s="259"/>
      <c r="P52" s="259"/>
      <c r="Q52" s="259"/>
    </row>
    <row r="53" spans="15:17" x14ac:dyDescent="0.25">
      <c r="O53" s="259"/>
      <c r="P53" s="259"/>
      <c r="Q53" s="259"/>
    </row>
    <row r="54" spans="15:17" x14ac:dyDescent="0.25">
      <c r="O54" s="259"/>
      <c r="P54" s="259"/>
      <c r="Q54" s="259"/>
    </row>
    <row r="55" spans="15:17" x14ac:dyDescent="0.25">
      <c r="O55" s="259"/>
      <c r="P55" s="259"/>
      <c r="Q55" s="259"/>
    </row>
    <row r="56" spans="15:17" x14ac:dyDescent="0.25">
      <c r="O56" s="259"/>
      <c r="P56" s="259"/>
      <c r="Q56" s="259"/>
    </row>
    <row r="57" spans="15:17" x14ac:dyDescent="0.25">
      <c r="O57" s="259"/>
      <c r="P57" s="259"/>
      <c r="Q57" s="259"/>
    </row>
    <row r="58" spans="15:17" x14ac:dyDescent="0.25">
      <c r="O58" s="259"/>
      <c r="P58" s="259"/>
      <c r="Q58" s="259"/>
    </row>
    <row r="59" spans="15:17" x14ac:dyDescent="0.25">
      <c r="O59" s="259"/>
      <c r="P59" s="259"/>
      <c r="Q59" s="259"/>
    </row>
    <row r="60" spans="15:17" x14ac:dyDescent="0.25">
      <c r="O60" s="259"/>
      <c r="P60" s="259"/>
      <c r="Q60" s="259"/>
    </row>
    <row r="61" spans="15:17" x14ac:dyDescent="0.25">
      <c r="O61" s="259"/>
      <c r="P61" s="259"/>
      <c r="Q61" s="259"/>
    </row>
    <row r="62" spans="15:17" x14ac:dyDescent="0.25">
      <c r="O62" s="259"/>
      <c r="P62" s="259"/>
      <c r="Q62" s="259"/>
    </row>
    <row r="63" spans="15:17" x14ac:dyDescent="0.25">
      <c r="O63" s="259"/>
      <c r="P63" s="259"/>
      <c r="Q63" s="259"/>
    </row>
    <row r="64" spans="15:17" x14ac:dyDescent="0.25">
      <c r="O64" s="259"/>
      <c r="P64" s="259"/>
      <c r="Q64" s="259"/>
    </row>
    <row r="65" spans="15:17" x14ac:dyDescent="0.25">
      <c r="O65" s="259"/>
      <c r="P65" s="259"/>
      <c r="Q65" s="259"/>
    </row>
    <row r="66" spans="15:17" x14ac:dyDescent="0.25">
      <c r="O66" s="259"/>
      <c r="P66" s="259"/>
      <c r="Q66" s="259"/>
    </row>
    <row r="67" spans="15:17" x14ac:dyDescent="0.25">
      <c r="O67" s="259"/>
      <c r="P67" s="259"/>
      <c r="Q67" s="259"/>
    </row>
    <row r="68" spans="15:17" x14ac:dyDescent="0.25">
      <c r="O68" s="259"/>
      <c r="P68" s="259"/>
      <c r="Q68" s="259"/>
    </row>
    <row r="69" spans="15:17" x14ac:dyDescent="0.25">
      <c r="O69" s="259"/>
      <c r="P69" s="259"/>
      <c r="Q69" s="259"/>
    </row>
    <row r="70" spans="15:17" x14ac:dyDescent="0.25">
      <c r="O70" s="259"/>
      <c r="P70" s="259"/>
      <c r="Q70" s="259"/>
    </row>
    <row r="71" spans="15:17" x14ac:dyDescent="0.25">
      <c r="O71" s="259"/>
      <c r="P71" s="259"/>
      <c r="Q71" s="259"/>
    </row>
    <row r="72" spans="15:17" x14ac:dyDescent="0.25">
      <c r="O72" s="259"/>
      <c r="P72" s="259"/>
      <c r="Q72" s="259"/>
    </row>
    <row r="73" spans="15:17" x14ac:dyDescent="0.25">
      <c r="O73" s="259"/>
      <c r="P73" s="259"/>
      <c r="Q73" s="259"/>
    </row>
    <row r="74" spans="15:17" x14ac:dyDescent="0.25">
      <c r="O74" s="259"/>
      <c r="P74" s="259"/>
      <c r="Q74" s="259"/>
    </row>
    <row r="75" spans="15:17" x14ac:dyDescent="0.25">
      <c r="O75" s="259"/>
      <c r="P75" s="259"/>
      <c r="Q75" s="259"/>
    </row>
    <row r="76" spans="15:17" x14ac:dyDescent="0.25">
      <c r="O76" s="259"/>
      <c r="P76" s="259"/>
      <c r="Q76" s="259"/>
    </row>
    <row r="77" spans="15:17" x14ac:dyDescent="0.25">
      <c r="O77" s="259"/>
      <c r="P77" s="259"/>
      <c r="Q77" s="259"/>
    </row>
    <row r="78" spans="15:17" x14ac:dyDescent="0.25">
      <c r="O78" s="259"/>
      <c r="P78" s="259"/>
      <c r="Q78" s="259"/>
    </row>
    <row r="79" spans="15:17" x14ac:dyDescent="0.25">
      <c r="O79" s="259"/>
      <c r="P79" s="259"/>
      <c r="Q79" s="259"/>
    </row>
    <row r="80" spans="15:17" x14ac:dyDescent="0.25">
      <c r="O80" s="259"/>
      <c r="P80" s="259"/>
      <c r="Q80" s="259"/>
    </row>
    <row r="81" spans="15:17" x14ac:dyDescent="0.25">
      <c r="O81" s="259"/>
      <c r="P81" s="259"/>
      <c r="Q81" s="259"/>
    </row>
    <row r="82" spans="15:17" x14ac:dyDescent="0.25">
      <c r="O82" s="259"/>
      <c r="P82" s="259"/>
      <c r="Q82" s="259"/>
    </row>
    <row r="83" spans="15:17" x14ac:dyDescent="0.25">
      <c r="O83" s="259"/>
      <c r="P83" s="259"/>
      <c r="Q83" s="259"/>
    </row>
    <row r="84" spans="15:17" x14ac:dyDescent="0.25">
      <c r="O84" s="259"/>
      <c r="P84" s="259"/>
      <c r="Q84" s="259"/>
    </row>
    <row r="85" spans="15:17" x14ac:dyDescent="0.25">
      <c r="O85" s="259"/>
      <c r="P85" s="259"/>
      <c r="Q85" s="259"/>
    </row>
    <row r="86" spans="15:17" x14ac:dyDescent="0.25">
      <c r="O86" s="259"/>
      <c r="P86" s="259"/>
      <c r="Q86" s="259"/>
    </row>
    <row r="87" spans="15:17" x14ac:dyDescent="0.25">
      <c r="O87" s="259"/>
      <c r="P87" s="259"/>
      <c r="Q87" s="259"/>
    </row>
    <row r="88" spans="15:17" x14ac:dyDescent="0.25">
      <c r="O88" s="259"/>
      <c r="P88" s="259"/>
      <c r="Q88" s="259"/>
    </row>
    <row r="89" spans="15:17" x14ac:dyDescent="0.25">
      <c r="O89" s="259"/>
      <c r="P89" s="259"/>
      <c r="Q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29" workbookViewId="0">
      <selection activeCell="A41" sqref="A41"/>
    </sheetView>
  </sheetViews>
  <sheetFormatPr defaultRowHeight="13.2" x14ac:dyDescent="0.25"/>
  <cols>
    <col min="2" max="2" width="9.33203125" bestFit="1" customWidth="1"/>
    <col min="3" max="3" width="9.554687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-19997</v>
      </c>
      <c r="C4" s="11">
        <v>-19960</v>
      </c>
      <c r="D4" s="25">
        <f>+C4-B4</f>
        <v>37</v>
      </c>
    </row>
    <row r="5" spans="1:4" x14ac:dyDescent="0.25">
      <c r="A5" s="10">
        <v>2</v>
      </c>
      <c r="B5" s="11">
        <v>-20003</v>
      </c>
      <c r="C5" s="11">
        <v>-19960</v>
      </c>
      <c r="D5" s="25">
        <f t="shared" ref="D5:D34" si="0">+C5-B5</f>
        <v>43</v>
      </c>
    </row>
    <row r="6" spans="1:4" x14ac:dyDescent="0.25">
      <c r="A6" s="10">
        <v>3</v>
      </c>
      <c r="B6" s="11">
        <v>-19992</v>
      </c>
      <c r="C6" s="11">
        <v>-19793</v>
      </c>
      <c r="D6" s="25">
        <f t="shared" si="0"/>
        <v>199</v>
      </c>
    </row>
    <row r="7" spans="1:4" x14ac:dyDescent="0.25">
      <c r="A7" s="10">
        <v>4</v>
      </c>
      <c r="B7" s="11">
        <v>-20005</v>
      </c>
      <c r="C7" s="11">
        <v>-19793</v>
      </c>
      <c r="D7" s="25">
        <f t="shared" si="0"/>
        <v>212</v>
      </c>
    </row>
    <row r="8" spans="1:4" x14ac:dyDescent="0.25">
      <c r="A8" s="10">
        <v>5</v>
      </c>
      <c r="B8" s="11">
        <v>-20009</v>
      </c>
      <c r="C8" s="11">
        <v>-19960</v>
      </c>
      <c r="D8" s="25">
        <f t="shared" si="0"/>
        <v>49</v>
      </c>
    </row>
    <row r="9" spans="1:4" x14ac:dyDescent="0.25">
      <c r="A9" s="10">
        <v>6</v>
      </c>
      <c r="B9" s="11">
        <v>-19990</v>
      </c>
      <c r="C9" s="11">
        <v>-19960</v>
      </c>
      <c r="D9" s="25">
        <f t="shared" si="0"/>
        <v>30</v>
      </c>
    </row>
    <row r="10" spans="1:4" x14ac:dyDescent="0.25">
      <c r="A10" s="10">
        <v>7</v>
      </c>
      <c r="B10" s="129">
        <v>-20005</v>
      </c>
      <c r="C10" s="11">
        <v>-19960</v>
      </c>
      <c r="D10" s="25">
        <f t="shared" si="0"/>
        <v>45</v>
      </c>
    </row>
    <row r="11" spans="1:4" x14ac:dyDescent="0.25">
      <c r="A11" s="10">
        <v>8</v>
      </c>
      <c r="B11" s="11">
        <v>-19998</v>
      </c>
      <c r="C11" s="11">
        <v>-19960</v>
      </c>
      <c r="D11" s="25">
        <f t="shared" si="0"/>
        <v>38</v>
      </c>
    </row>
    <row r="12" spans="1:4" x14ac:dyDescent="0.25">
      <c r="A12" s="10">
        <v>9</v>
      </c>
      <c r="B12" s="11">
        <v>-19952</v>
      </c>
      <c r="C12" s="11">
        <v>-19960</v>
      </c>
      <c r="D12" s="25">
        <f t="shared" si="0"/>
        <v>-8</v>
      </c>
    </row>
    <row r="13" spans="1:4" x14ac:dyDescent="0.25">
      <c r="A13" s="10">
        <v>10</v>
      </c>
      <c r="B13" s="11">
        <v>-19866</v>
      </c>
      <c r="C13" s="11">
        <v>-19688</v>
      </c>
      <c r="D13" s="25">
        <f t="shared" si="0"/>
        <v>178</v>
      </c>
    </row>
    <row r="14" spans="1:4" x14ac:dyDescent="0.25">
      <c r="A14" s="10">
        <v>11</v>
      </c>
      <c r="B14" s="11"/>
      <c r="C14" s="11"/>
      <c r="D14" s="25">
        <f t="shared" si="0"/>
        <v>0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8" x14ac:dyDescent="0.25">
      <c r="A17" s="10">
        <v>14</v>
      </c>
      <c r="B17" s="11"/>
      <c r="C17" s="11"/>
      <c r="D17" s="25">
        <f t="shared" si="0"/>
        <v>0</v>
      </c>
    </row>
    <row r="18" spans="1:8" x14ac:dyDescent="0.25">
      <c r="A18" s="10">
        <v>15</v>
      </c>
      <c r="B18" s="11"/>
      <c r="C18" s="11"/>
      <c r="D18" s="25">
        <f t="shared" si="0"/>
        <v>0</v>
      </c>
    </row>
    <row r="19" spans="1:8" x14ac:dyDescent="0.25">
      <c r="A19" s="10">
        <v>16</v>
      </c>
      <c r="B19" s="11"/>
      <c r="C19" s="11"/>
      <c r="D19" s="25">
        <f t="shared" si="0"/>
        <v>0</v>
      </c>
    </row>
    <row r="20" spans="1:8" x14ac:dyDescent="0.25">
      <c r="A20" s="10">
        <v>17</v>
      </c>
      <c r="B20" s="11"/>
      <c r="C20" s="11"/>
      <c r="D20" s="25">
        <f t="shared" si="0"/>
        <v>0</v>
      </c>
    </row>
    <row r="21" spans="1:8" x14ac:dyDescent="0.25">
      <c r="A21" s="10">
        <v>18</v>
      </c>
      <c r="B21" s="11"/>
      <c r="C21" s="11"/>
      <c r="D21" s="25">
        <f t="shared" si="0"/>
        <v>0</v>
      </c>
    </row>
    <row r="22" spans="1:8" x14ac:dyDescent="0.25">
      <c r="A22" s="10">
        <v>19</v>
      </c>
      <c r="B22" s="11"/>
      <c r="C22" s="11"/>
      <c r="D22" s="25">
        <f t="shared" si="0"/>
        <v>0</v>
      </c>
    </row>
    <row r="23" spans="1:8" x14ac:dyDescent="0.25">
      <c r="A23" s="10">
        <v>20</v>
      </c>
      <c r="B23" s="129"/>
      <c r="C23" s="11"/>
      <c r="D23" s="25">
        <f t="shared" si="0"/>
        <v>0</v>
      </c>
      <c r="F23" s="25"/>
      <c r="H23" s="34"/>
    </row>
    <row r="24" spans="1:8" x14ac:dyDescent="0.25">
      <c r="A24" s="10">
        <v>21</v>
      </c>
      <c r="B24" s="11"/>
      <c r="C24" s="11"/>
      <c r="D24" s="25">
        <f t="shared" si="0"/>
        <v>0</v>
      </c>
      <c r="F24" s="25"/>
    </row>
    <row r="25" spans="1:8" x14ac:dyDescent="0.25">
      <c r="A25" s="10">
        <v>22</v>
      </c>
      <c r="B25" s="11"/>
      <c r="C25" s="11"/>
      <c r="D25" s="25">
        <f t="shared" si="0"/>
        <v>0</v>
      </c>
      <c r="F25" s="25"/>
    </row>
    <row r="26" spans="1:8" x14ac:dyDescent="0.25">
      <c r="A26" s="10">
        <v>23</v>
      </c>
      <c r="B26" s="11"/>
      <c r="C26" s="11"/>
      <c r="D26" s="25">
        <f t="shared" si="0"/>
        <v>0</v>
      </c>
      <c r="F26" s="25"/>
    </row>
    <row r="27" spans="1:8" x14ac:dyDescent="0.25">
      <c r="A27" s="10">
        <v>24</v>
      </c>
      <c r="B27" s="11"/>
      <c r="C27" s="11"/>
      <c r="D27" s="25">
        <f t="shared" si="0"/>
        <v>0</v>
      </c>
    </row>
    <row r="28" spans="1:8" x14ac:dyDescent="0.25">
      <c r="A28" s="10">
        <v>25</v>
      </c>
      <c r="B28" s="11"/>
      <c r="C28" s="11"/>
      <c r="D28" s="25">
        <f t="shared" si="0"/>
        <v>0</v>
      </c>
    </row>
    <row r="29" spans="1:8" x14ac:dyDescent="0.25">
      <c r="A29" s="10">
        <v>26</v>
      </c>
      <c r="B29" s="11"/>
      <c r="C29" s="11"/>
      <c r="D29" s="25">
        <f t="shared" si="0"/>
        <v>0</v>
      </c>
    </row>
    <row r="30" spans="1:8" x14ac:dyDescent="0.25">
      <c r="A30" s="10">
        <v>27</v>
      </c>
      <c r="B30" s="11"/>
      <c r="C30" s="11"/>
      <c r="D30" s="25">
        <f t="shared" si="0"/>
        <v>0</v>
      </c>
    </row>
    <row r="31" spans="1:8" x14ac:dyDescent="0.25">
      <c r="A31" s="10">
        <v>28</v>
      </c>
      <c r="B31" s="11"/>
      <c r="C31" s="11"/>
      <c r="D31" s="25">
        <f t="shared" si="0"/>
        <v>0</v>
      </c>
    </row>
    <row r="32" spans="1:8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-199817</v>
      </c>
      <c r="C35" s="11">
        <f>SUM(C4:C34)</f>
        <v>-198994</v>
      </c>
      <c r="D35" s="11">
        <f>SUM(D4:D34)</f>
        <v>823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37315</v>
      </c>
      <c r="D38" s="486">
        <v>0</v>
      </c>
    </row>
    <row r="39" spans="1:4" x14ac:dyDescent="0.25">
      <c r="A39" s="2"/>
      <c r="D39" s="24"/>
    </row>
    <row r="40" spans="1:4" x14ac:dyDescent="0.25">
      <c r="A40" s="57">
        <v>37325</v>
      </c>
      <c r="D40" s="51">
        <f>+D38+D35</f>
        <v>823</v>
      </c>
    </row>
    <row r="44" spans="1:4" x14ac:dyDescent="0.25">
      <c r="A44" s="32" t="s">
        <v>149</v>
      </c>
      <c r="B44" s="32"/>
      <c r="C44" s="32"/>
      <c r="D44" s="47"/>
    </row>
    <row r="45" spans="1:4" x14ac:dyDescent="0.25">
      <c r="A45" s="49">
        <f>+A38</f>
        <v>37315</v>
      </c>
      <c r="B45" s="32"/>
      <c r="C45" s="32"/>
      <c r="D45" s="485">
        <v>0</v>
      </c>
    </row>
    <row r="46" spans="1:4" x14ac:dyDescent="0.25">
      <c r="A46" s="49">
        <f>+A40</f>
        <v>37325</v>
      </c>
      <c r="B46" s="32"/>
      <c r="C46" s="32"/>
      <c r="D46" s="373">
        <f>+D35*'by type_area'!G4</f>
        <v>2041.04</v>
      </c>
    </row>
    <row r="47" spans="1:4" x14ac:dyDescent="0.25">
      <c r="A47" s="32"/>
      <c r="B47" s="32"/>
      <c r="C47" s="32"/>
      <c r="D47" s="200">
        <f>+D46+D45</f>
        <v>2041.04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32" workbookViewId="0">
      <selection activeCell="C37" sqref="C37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241</v>
      </c>
      <c r="I2" s="4"/>
      <c r="J2" s="4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29">
        <v>9206</v>
      </c>
      <c r="C4" s="11">
        <v>10000</v>
      </c>
      <c r="D4" s="11">
        <v>6058</v>
      </c>
      <c r="E4" s="11">
        <v>6400</v>
      </c>
      <c r="F4" s="11"/>
      <c r="G4" s="11"/>
      <c r="H4" s="11"/>
      <c r="I4" s="11"/>
      <c r="J4" s="11">
        <f t="shared" ref="J4:J34" si="0">+C4+E4+G4+I4-H4-F4-D4-B4</f>
        <v>1136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29">
        <v>10335</v>
      </c>
      <c r="C5" s="11">
        <v>10000</v>
      </c>
      <c r="D5" s="11">
        <v>8049</v>
      </c>
      <c r="E5" s="11">
        <v>6400</v>
      </c>
      <c r="F5" s="11"/>
      <c r="G5" s="11"/>
      <c r="H5" s="11"/>
      <c r="I5" s="11"/>
      <c r="J5" s="11">
        <f t="shared" si="0"/>
        <v>-1984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29">
        <v>11989</v>
      </c>
      <c r="C6" s="11">
        <v>10000</v>
      </c>
      <c r="D6" s="11">
        <v>8559</v>
      </c>
      <c r="E6" s="11">
        <v>6400</v>
      </c>
      <c r="F6" s="11"/>
      <c r="G6" s="11"/>
      <c r="H6" s="11"/>
      <c r="I6" s="11"/>
      <c r="J6" s="11">
        <f t="shared" si="0"/>
        <v>-4148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29">
        <v>11848</v>
      </c>
      <c r="C7" s="11">
        <v>10000</v>
      </c>
      <c r="D7" s="11">
        <v>8872</v>
      </c>
      <c r="E7" s="11">
        <v>6400</v>
      </c>
      <c r="F7" s="11"/>
      <c r="G7" s="11"/>
      <c r="H7" s="11"/>
      <c r="I7" s="11"/>
      <c r="J7" s="11">
        <f t="shared" si="0"/>
        <v>-4320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11419</v>
      </c>
      <c r="C8" s="11">
        <v>10000</v>
      </c>
      <c r="D8" s="129">
        <v>8399</v>
      </c>
      <c r="E8" s="11">
        <v>6400</v>
      </c>
      <c r="F8" s="11"/>
      <c r="G8" s="11"/>
      <c r="H8" s="11"/>
      <c r="I8" s="11"/>
      <c r="J8" s="11">
        <f t="shared" si="0"/>
        <v>-3418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29">
        <v>8368</v>
      </c>
      <c r="C9" s="11">
        <v>10000</v>
      </c>
      <c r="D9" s="11">
        <v>7515</v>
      </c>
      <c r="E9" s="11">
        <v>6400</v>
      </c>
      <c r="F9" s="11"/>
      <c r="G9" s="11"/>
      <c r="H9" s="11">
        <v>33</v>
      </c>
      <c r="I9" s="11"/>
      <c r="J9" s="11">
        <f t="shared" si="0"/>
        <v>484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11545</v>
      </c>
      <c r="C10" s="11">
        <v>10000</v>
      </c>
      <c r="D10" s="129">
        <v>7100</v>
      </c>
      <c r="E10" s="11">
        <v>6400</v>
      </c>
      <c r="F10" s="11"/>
      <c r="G10" s="11"/>
      <c r="H10" s="11">
        <v>238</v>
      </c>
      <c r="I10" s="11"/>
      <c r="J10" s="11">
        <f t="shared" si="0"/>
        <v>-2483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29">
        <v>11696</v>
      </c>
      <c r="C11" s="11">
        <v>8716</v>
      </c>
      <c r="D11" s="11">
        <v>7475</v>
      </c>
      <c r="E11" s="11">
        <v>5578</v>
      </c>
      <c r="F11" s="11"/>
      <c r="G11" s="11"/>
      <c r="H11" s="11"/>
      <c r="I11" s="11"/>
      <c r="J11" s="11">
        <f t="shared" si="0"/>
        <v>-4877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11612</v>
      </c>
      <c r="C12" s="11">
        <v>10000</v>
      </c>
      <c r="D12" s="11">
        <v>7678</v>
      </c>
      <c r="E12" s="11">
        <v>6400</v>
      </c>
      <c r="F12" s="11"/>
      <c r="G12" s="11"/>
      <c r="H12" s="11"/>
      <c r="I12" s="11"/>
      <c r="J12" s="11">
        <f t="shared" si="0"/>
        <v>-2890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10330</v>
      </c>
      <c r="C13" s="11">
        <v>9807</v>
      </c>
      <c r="D13" s="11">
        <v>8057</v>
      </c>
      <c r="E13" s="11">
        <v>6276</v>
      </c>
      <c r="F13" s="11"/>
      <c r="G13" s="11"/>
      <c r="H13" s="11"/>
      <c r="I13" s="11"/>
      <c r="J13" s="11">
        <f t="shared" si="0"/>
        <v>-2304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108348</v>
      </c>
      <c r="C35" s="11">
        <f t="shared" ref="C35:I35" si="1">SUM(C4:C34)</f>
        <v>98523</v>
      </c>
      <c r="D35" s="11">
        <f t="shared" si="1"/>
        <v>77762</v>
      </c>
      <c r="E35" s="11">
        <f t="shared" si="1"/>
        <v>63054</v>
      </c>
      <c r="F35" s="11">
        <f t="shared" si="1"/>
        <v>0</v>
      </c>
      <c r="G35" s="11">
        <f t="shared" si="1"/>
        <v>0</v>
      </c>
      <c r="H35" s="11">
        <f t="shared" si="1"/>
        <v>271</v>
      </c>
      <c r="I35" s="11">
        <f t="shared" si="1"/>
        <v>0</v>
      </c>
      <c r="J35" s="11">
        <f>SUM(J4:J34)</f>
        <v>-24804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+summary!G4</f>
        <v>2.48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-61513.919999999998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47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37315</v>
      </c>
      <c r="C39" s="25"/>
      <c r="E39" s="25"/>
      <c r="G39" s="25"/>
      <c r="I39" s="25"/>
      <c r="J39" s="598">
        <v>32586.93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19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37325</v>
      </c>
      <c r="J41" s="319">
        <f>+J39+J37</f>
        <v>-28926.989999999998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47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148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+A39</f>
        <v>37315</v>
      </c>
      <c r="B46" s="32"/>
      <c r="C46" s="32"/>
      <c r="D46" s="599">
        <v>-112146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+A41</f>
        <v>37325</v>
      </c>
      <c r="B47" s="32"/>
      <c r="C47" s="32"/>
      <c r="D47" s="348">
        <f>+J35</f>
        <v>-24804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14">
        <f>+D47+D46</f>
        <v>-136950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F41" sqref="F41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303</v>
      </c>
      <c r="H4" s="14" t="s">
        <v>302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301</v>
      </c>
      <c r="I5" s="14" t="s">
        <v>304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-29075</v>
      </c>
      <c r="E6" s="24">
        <v>-24972</v>
      </c>
      <c r="F6" s="24">
        <f>+C6+E6-B6-D6</f>
        <v>4103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-26944</v>
      </c>
      <c r="E7" s="24">
        <v>-25347</v>
      </c>
      <c r="F7" s="24">
        <f t="shared" ref="F7:F36" si="0">+C7+E7-B7-D7</f>
        <v>1597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/>
      <c r="F8" s="24">
        <f t="shared" si="0"/>
        <v>0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/>
      <c r="F9" s="24">
        <f t="shared" si="0"/>
        <v>0</v>
      </c>
      <c r="G9" s="206"/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/>
      <c r="F10" s="24">
        <f t="shared" si="0"/>
        <v>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/>
      <c r="F12" s="24">
        <f t="shared" si="0"/>
        <v>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-56019</v>
      </c>
      <c r="E37" s="24">
        <f>SUM(E6:E36)</f>
        <v>-50319</v>
      </c>
      <c r="F37" s="24">
        <f>SUM(F6:F36)</f>
        <v>5700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2.48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14136</v>
      </c>
      <c r="G39" s="44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591">
        <v>37315</v>
      </c>
      <c r="E40" s="14"/>
      <c r="F40" s="562">
        <v>315184.86</v>
      </c>
      <c r="G40" s="440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0">
        <v>37317</v>
      </c>
      <c r="E41" s="14"/>
      <c r="F41" s="104">
        <f>+F40+F39</f>
        <v>329320.86</v>
      </c>
      <c r="G41" s="44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37315</v>
      </c>
      <c r="B46" s="32"/>
      <c r="C46" s="32"/>
      <c r="D46" s="561">
        <v>-43776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37317</v>
      </c>
      <c r="B47" s="32"/>
      <c r="C47" s="32"/>
      <c r="D47" s="348">
        <f>+F37</f>
        <v>5700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-38076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31" workbookViewId="0">
      <selection activeCell="D48" sqref="D48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108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5">
      <c r="A8" s="10">
        <v>1</v>
      </c>
      <c r="B8" s="11"/>
      <c r="C8" s="11"/>
      <c r="D8" s="11"/>
      <c r="E8" s="11">
        <v>812</v>
      </c>
      <c r="F8" s="25">
        <f>+E8+C8-D8-B8</f>
        <v>812</v>
      </c>
    </row>
    <row r="9" spans="1:6" x14ac:dyDescent="0.25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5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5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5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5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5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5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5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5">
      <c r="A17" s="10">
        <v>10</v>
      </c>
      <c r="B17" s="11"/>
      <c r="C17" s="11"/>
      <c r="D17" s="11"/>
      <c r="E17" s="11"/>
      <c r="F17" s="25">
        <f t="shared" si="0"/>
        <v>0</v>
      </c>
      <c r="J17" s="322"/>
    </row>
    <row r="18" spans="1:10" x14ac:dyDescent="0.25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5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5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5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5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5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5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5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5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5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812</v>
      </c>
      <c r="F39" s="25">
        <f>SUM(F8:F38)</f>
        <v>812</v>
      </c>
    </row>
    <row r="40" spans="1:6" x14ac:dyDescent="0.25">
      <c r="A40" s="26"/>
      <c r="C40" s="14"/>
      <c r="F40" s="253">
        <f>+summary!G4</f>
        <v>2.48</v>
      </c>
    </row>
    <row r="41" spans="1:6" x14ac:dyDescent="0.25">
      <c r="F41" s="138">
        <f>+F40*F39</f>
        <v>2013.76</v>
      </c>
    </row>
    <row r="42" spans="1:6" x14ac:dyDescent="0.25">
      <c r="A42" s="57">
        <v>37315</v>
      </c>
      <c r="C42" s="15"/>
      <c r="F42" s="613">
        <v>57421.18</v>
      </c>
    </row>
    <row r="43" spans="1:6" x14ac:dyDescent="0.25">
      <c r="A43" s="57">
        <v>37324</v>
      </c>
      <c r="C43" s="48"/>
      <c r="F43" s="138">
        <f>+F42+F41</f>
        <v>59434.94</v>
      </c>
    </row>
    <row r="47" spans="1:6" x14ac:dyDescent="0.25">
      <c r="A47" s="32" t="s">
        <v>148</v>
      </c>
      <c r="B47" s="32"/>
      <c r="C47" s="32"/>
      <c r="D47" s="32"/>
    </row>
    <row r="48" spans="1:6" x14ac:dyDescent="0.25">
      <c r="A48" s="49">
        <f>+A42</f>
        <v>37315</v>
      </c>
      <c r="B48" s="32"/>
      <c r="C48" s="32"/>
      <c r="D48" s="608">
        <v>7844</v>
      </c>
    </row>
    <row r="49" spans="1:4" x14ac:dyDescent="0.25">
      <c r="A49" s="49">
        <f>+A43</f>
        <v>37324</v>
      </c>
      <c r="B49" s="32"/>
      <c r="C49" s="32"/>
      <c r="D49" s="348">
        <f>+F39</f>
        <v>812</v>
      </c>
    </row>
    <row r="50" spans="1:4" x14ac:dyDescent="0.25">
      <c r="A50" s="32"/>
      <c r="B50" s="32"/>
      <c r="C50" s="32"/>
      <c r="D50" s="14">
        <f>+D49+D48</f>
        <v>8656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30" workbookViewId="0">
      <selection activeCell="A43" sqref="A43"/>
    </sheetView>
  </sheetViews>
  <sheetFormatPr defaultRowHeight="13.2" x14ac:dyDescent="0.25"/>
  <cols>
    <col min="4" max="4" width="10.6640625" bestFit="1" customWidth="1"/>
  </cols>
  <sheetData>
    <row r="5" spans="1:4" ht="13.8" x14ac:dyDescent="0.25">
      <c r="A5" s="134"/>
      <c r="B5" s="34" t="s">
        <v>111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10</v>
      </c>
      <c r="B7" s="6" t="s">
        <v>19</v>
      </c>
      <c r="C7" s="6" t="s">
        <v>20</v>
      </c>
    </row>
    <row r="8" spans="1:4" x14ac:dyDescent="0.25">
      <c r="A8" s="10">
        <v>1</v>
      </c>
      <c r="B8" s="11"/>
      <c r="C8" s="11"/>
      <c r="D8" s="25">
        <f>+C8-B8</f>
        <v>0</v>
      </c>
    </row>
    <row r="9" spans="1:4" x14ac:dyDescent="0.25">
      <c r="A9" s="10">
        <v>2</v>
      </c>
      <c r="B9" s="11"/>
      <c r="C9" s="11"/>
      <c r="D9" s="25">
        <f t="shared" ref="D9:D38" si="0">+C9-B9</f>
        <v>0</v>
      </c>
    </row>
    <row r="10" spans="1:4" x14ac:dyDescent="0.25">
      <c r="A10" s="10">
        <v>3</v>
      </c>
      <c r="B10" s="11"/>
      <c r="C10" s="11"/>
      <c r="D10" s="25">
        <f t="shared" si="0"/>
        <v>0</v>
      </c>
    </row>
    <row r="11" spans="1:4" x14ac:dyDescent="0.25">
      <c r="A11" s="10">
        <v>4</v>
      </c>
      <c r="B11" s="11"/>
      <c r="C11" s="11"/>
      <c r="D11" s="25">
        <f t="shared" si="0"/>
        <v>0</v>
      </c>
    </row>
    <row r="12" spans="1:4" x14ac:dyDescent="0.25">
      <c r="A12" s="10">
        <v>5</v>
      </c>
      <c r="B12" s="11"/>
      <c r="C12" s="11"/>
      <c r="D12" s="25">
        <f t="shared" si="0"/>
        <v>0</v>
      </c>
    </row>
    <row r="13" spans="1:4" x14ac:dyDescent="0.25">
      <c r="A13" s="10">
        <v>6</v>
      </c>
      <c r="B13" s="11"/>
      <c r="C13" s="11"/>
      <c r="D13" s="25">
        <f t="shared" si="0"/>
        <v>0</v>
      </c>
    </row>
    <row r="14" spans="1:4" x14ac:dyDescent="0.25">
      <c r="A14" s="10">
        <v>7</v>
      </c>
      <c r="B14" s="11"/>
      <c r="C14" s="11"/>
      <c r="D14" s="25">
        <f t="shared" si="0"/>
        <v>0</v>
      </c>
    </row>
    <row r="15" spans="1:4" x14ac:dyDescent="0.25">
      <c r="A15" s="10">
        <v>8</v>
      </c>
      <c r="B15" s="11"/>
      <c r="C15" s="11"/>
      <c r="D15" s="25">
        <f t="shared" si="0"/>
        <v>0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/>
      <c r="D17" s="25">
        <f t="shared" si="0"/>
        <v>0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5">
      <c r="A40" s="26"/>
      <c r="C40" s="14"/>
      <c r="D40" s="448"/>
    </row>
    <row r="41" spans="1:4" x14ac:dyDescent="0.25">
      <c r="A41" s="57">
        <v>37315</v>
      </c>
      <c r="C41" s="15"/>
      <c r="D41" s="455">
        <v>17587</v>
      </c>
    </row>
    <row r="42" spans="1:4" x14ac:dyDescent="0.25">
      <c r="A42" s="57">
        <v>37323</v>
      </c>
      <c r="C42" s="48"/>
      <c r="D42" s="24">
        <f>+D41+D39</f>
        <v>17587</v>
      </c>
    </row>
    <row r="43" spans="1:4" x14ac:dyDescent="0.25">
      <c r="D43" s="251"/>
    </row>
    <row r="44" spans="1:4" x14ac:dyDescent="0.25">
      <c r="D44" s="251"/>
    </row>
    <row r="46" spans="1:4" x14ac:dyDescent="0.25">
      <c r="A46" s="32" t="s">
        <v>149</v>
      </c>
      <c r="B46" s="32"/>
      <c r="C46" s="32"/>
      <c r="D46" s="32"/>
    </row>
    <row r="47" spans="1:4" x14ac:dyDescent="0.25">
      <c r="A47" s="49">
        <f>+A41</f>
        <v>37315</v>
      </c>
      <c r="B47" s="32"/>
      <c r="C47" s="32"/>
      <c r="D47" s="458">
        <v>385897</v>
      </c>
    </row>
    <row r="48" spans="1:4" x14ac:dyDescent="0.25">
      <c r="A48" s="49">
        <f>+A42</f>
        <v>37323</v>
      </c>
      <c r="B48" s="32"/>
      <c r="C48" s="32"/>
      <c r="D48" s="373">
        <f>+D39*summary!G4</f>
        <v>0</v>
      </c>
    </row>
    <row r="49" spans="1:4" x14ac:dyDescent="0.25">
      <c r="A49" s="32"/>
      <c r="B49" s="32"/>
      <c r="C49" s="32"/>
      <c r="D49" s="200">
        <f>+D48+D47</f>
        <v>385897</v>
      </c>
    </row>
    <row r="50" spans="1:4" x14ac:dyDescent="0.25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55"/>
  <sheetViews>
    <sheetView topLeftCell="A23" workbookViewId="0">
      <selection activeCell="A42" sqref="A42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  <col min="8" max="8" width="15.6640625" customWidth="1"/>
    <col min="9" max="9" width="10.88671875" bestFit="1" customWidth="1"/>
    <col min="10" max="10" width="10.5546875" bestFit="1" customWidth="1"/>
    <col min="12" max="12" width="12" bestFit="1" customWidth="1"/>
    <col min="13" max="13" width="12.33203125" style="32" bestFit="1" customWidth="1"/>
  </cols>
  <sheetData>
    <row r="3" spans="1:14" ht="13.8" x14ac:dyDescent="0.25">
      <c r="A3" s="134"/>
      <c r="B3" s="34" t="s">
        <v>130</v>
      </c>
    </row>
    <row r="4" spans="1:14" x14ac:dyDescent="0.25">
      <c r="A4" s="3"/>
      <c r="B4" s="1">
        <v>78113</v>
      </c>
      <c r="D4" s="1"/>
    </row>
    <row r="5" spans="1:14" x14ac:dyDescent="0.25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5">
      <c r="A6" s="10">
        <v>1</v>
      </c>
      <c r="B6" s="11">
        <v>-84738</v>
      </c>
      <c r="C6" s="11">
        <v>-85300</v>
      </c>
      <c r="D6" s="25">
        <f>+C6-B6</f>
        <v>-562</v>
      </c>
      <c r="G6" s="118"/>
      <c r="H6" s="34"/>
      <c r="I6" s="34"/>
      <c r="J6" s="189"/>
      <c r="K6" s="410" t="s">
        <v>57</v>
      </c>
      <c r="L6" s="189"/>
      <c r="M6" s="2"/>
      <c r="N6" s="34"/>
    </row>
    <row r="7" spans="1:14" x14ac:dyDescent="0.25">
      <c r="A7" s="10">
        <v>2</v>
      </c>
      <c r="B7" s="11">
        <v>-84260</v>
      </c>
      <c r="C7" s="11">
        <v>-85300</v>
      </c>
      <c r="D7" s="25">
        <f t="shared" ref="D7:D36" si="0">+C7-B7</f>
        <v>-1040</v>
      </c>
      <c r="G7" s="118" t="s">
        <v>39</v>
      </c>
      <c r="H7" s="411" t="s">
        <v>19</v>
      </c>
      <c r="I7" s="411" t="s">
        <v>20</v>
      </c>
      <c r="J7" s="412" t="s">
        <v>49</v>
      </c>
      <c r="K7" s="410" t="s">
        <v>15</v>
      </c>
      <c r="L7" s="189" t="s">
        <v>27</v>
      </c>
      <c r="M7" s="2"/>
      <c r="N7" s="34"/>
    </row>
    <row r="8" spans="1:14" ht="15" customHeight="1" x14ac:dyDescent="0.25">
      <c r="A8" s="10">
        <v>3</v>
      </c>
      <c r="B8" s="11">
        <v>-85534</v>
      </c>
      <c r="C8" s="11">
        <v>-85300</v>
      </c>
      <c r="D8" s="25">
        <f t="shared" si="0"/>
        <v>234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0">
        <v>5.62</v>
      </c>
      <c r="L8" s="415">
        <f t="shared" ref="L8:L14" si="2">+K8*J8</f>
        <v>-30325.52</v>
      </c>
      <c r="M8" s="2"/>
      <c r="N8" s="34"/>
    </row>
    <row r="9" spans="1:14" ht="15" customHeight="1" x14ac:dyDescent="0.25">
      <c r="A9" s="10">
        <v>4</v>
      </c>
      <c r="B9" s="11">
        <v>-77757</v>
      </c>
      <c r="C9" s="11">
        <v>-85300</v>
      </c>
      <c r="D9" s="25">
        <f t="shared" si="0"/>
        <v>-7543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0">
        <v>4.9800000000000004</v>
      </c>
      <c r="L9" s="415">
        <f t="shared" si="2"/>
        <v>-77025.66</v>
      </c>
      <c r="M9" s="104">
        <f>+L9+L8</f>
        <v>-107351.18000000001</v>
      </c>
      <c r="N9" s="34"/>
    </row>
    <row r="10" spans="1:14" ht="15" customHeight="1" x14ac:dyDescent="0.25">
      <c r="A10" s="10">
        <v>5</v>
      </c>
      <c r="B10" s="11">
        <v>-56602</v>
      </c>
      <c r="C10" s="11">
        <v>-49977</v>
      </c>
      <c r="D10" s="25">
        <f t="shared" si="0"/>
        <v>6625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0">
        <v>4.87</v>
      </c>
      <c r="L10" s="415">
        <f t="shared" si="2"/>
        <v>-979556.67</v>
      </c>
      <c r="M10" s="104">
        <f>+M9+L10</f>
        <v>-1086907.8500000001</v>
      </c>
      <c r="N10" s="34"/>
    </row>
    <row r="11" spans="1:14" ht="15" customHeight="1" x14ac:dyDescent="0.25">
      <c r="A11" s="10">
        <v>6</v>
      </c>
      <c r="B11" s="11"/>
      <c r="C11" s="11"/>
      <c r="D11" s="25">
        <f t="shared" si="0"/>
        <v>0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0">
        <v>3.82</v>
      </c>
      <c r="L11" s="415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5">
      <c r="A12" s="10">
        <v>7</v>
      </c>
      <c r="B12" s="11"/>
      <c r="C12" s="11"/>
      <c r="D12" s="25">
        <f t="shared" si="0"/>
        <v>0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0">
        <v>3.2</v>
      </c>
      <c r="L12" s="415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5">
      <c r="A13" s="10">
        <v>8</v>
      </c>
      <c r="B13" s="129"/>
      <c r="C13" s="11"/>
      <c r="D13" s="25">
        <f t="shared" si="0"/>
        <v>0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0">
        <v>2.77</v>
      </c>
      <c r="L13" s="415">
        <f t="shared" si="2"/>
        <v>424206.11</v>
      </c>
      <c r="M13" s="104">
        <f>+M12+L13</f>
        <v>21736.759999999835</v>
      </c>
      <c r="N13" s="34"/>
    </row>
    <row r="14" spans="1:14" ht="15" customHeight="1" x14ac:dyDescent="0.25">
      <c r="A14" s="10">
        <v>9</v>
      </c>
      <c r="B14" s="11"/>
      <c r="C14" s="11"/>
      <c r="D14" s="25">
        <f t="shared" si="0"/>
        <v>0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0">
        <v>2.77</v>
      </c>
      <c r="L14" s="415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5">
      <c r="A15" s="10">
        <v>10</v>
      </c>
      <c r="B15" s="11"/>
      <c r="C15" s="11"/>
      <c r="D15" s="25">
        <f t="shared" si="0"/>
        <v>0</v>
      </c>
      <c r="G15" s="436"/>
      <c r="H15" s="119"/>
      <c r="I15" s="119"/>
      <c r="J15" s="119"/>
      <c r="K15" s="410"/>
      <c r="L15" s="415"/>
      <c r="M15" s="104"/>
      <c r="N15" s="34"/>
    </row>
    <row r="16" spans="1:14" ht="15" customHeight="1" x14ac:dyDescent="0.25">
      <c r="A16" s="10">
        <v>11</v>
      </c>
      <c r="B16" s="11"/>
      <c r="C16" s="11"/>
      <c r="D16" s="25">
        <f t="shared" si="0"/>
        <v>0</v>
      </c>
      <c r="G16" s="437"/>
      <c r="H16" s="34"/>
      <c r="I16" s="34"/>
      <c r="J16" s="189"/>
      <c r="K16" s="410"/>
      <c r="L16" s="189"/>
      <c r="M16" s="2"/>
      <c r="N16" s="34"/>
    </row>
    <row r="17" spans="1:14" ht="15" customHeight="1" x14ac:dyDescent="0.25">
      <c r="A17" s="10">
        <v>12</v>
      </c>
      <c r="B17" s="11"/>
      <c r="C17" s="11"/>
      <c r="D17" s="25">
        <f t="shared" si="0"/>
        <v>0</v>
      </c>
      <c r="G17" s="437"/>
      <c r="H17" s="34"/>
      <c r="I17" s="34"/>
      <c r="J17" s="307">
        <f>SUM(J8:J16)</f>
        <v>130492</v>
      </c>
      <c r="K17" s="410"/>
      <c r="L17" s="189">
        <f>SUM(L8:L16)</f>
        <v>81685.099999999831</v>
      </c>
      <c r="M17" s="2"/>
      <c r="N17" s="34"/>
    </row>
    <row r="18" spans="1:14" x14ac:dyDescent="0.25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10"/>
      <c r="L18" s="189"/>
      <c r="M18" s="2"/>
      <c r="N18" s="34"/>
    </row>
    <row r="19" spans="1:14" x14ac:dyDescent="0.25">
      <c r="A19" s="10">
        <v>14</v>
      </c>
      <c r="B19" s="11"/>
      <c r="C19" s="11"/>
      <c r="D19" s="25">
        <f t="shared" si="0"/>
        <v>0</v>
      </c>
      <c r="G19" s="118" t="s">
        <v>183</v>
      </c>
      <c r="H19" s="119">
        <f>+B37</f>
        <v>-388891</v>
      </c>
      <c r="I19" s="119">
        <f>+C37</f>
        <v>-391177</v>
      </c>
      <c r="J19" s="119">
        <f>+I19-H19</f>
        <v>-2286</v>
      </c>
      <c r="K19" s="410">
        <f>+D38</f>
        <v>2.48</v>
      </c>
      <c r="L19" s="415">
        <f>+K19*J19</f>
        <v>-5669.28</v>
      </c>
      <c r="M19" s="2"/>
      <c r="N19" s="34"/>
    </row>
    <row r="20" spans="1:14" x14ac:dyDescent="0.25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10"/>
      <c r="L20" s="415"/>
      <c r="M20" s="2"/>
      <c r="N20" s="34"/>
    </row>
    <row r="21" spans="1:14" x14ac:dyDescent="0.25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5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5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06"/>
      <c r="L23" s="110"/>
      <c r="M23" s="2"/>
      <c r="N23" s="34"/>
    </row>
    <row r="24" spans="1:14" x14ac:dyDescent="0.25">
      <c r="A24" s="10">
        <v>19</v>
      </c>
      <c r="B24" s="129"/>
      <c r="C24" s="11"/>
      <c r="D24" s="25">
        <f t="shared" si="0"/>
        <v>0</v>
      </c>
      <c r="G24" s="2" t="s">
        <v>184</v>
      </c>
      <c r="H24" s="24"/>
      <c r="I24" s="24"/>
      <c r="J24" s="24">
        <f>+J19+J17</f>
        <v>128206</v>
      </c>
      <c r="K24" s="406"/>
      <c r="L24" s="110">
        <f>+L19+L17</f>
        <v>76015.819999999832</v>
      </c>
      <c r="M24" s="2"/>
      <c r="N24" s="34"/>
    </row>
    <row r="25" spans="1:14" x14ac:dyDescent="0.25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06"/>
      <c r="L25" s="110"/>
      <c r="M25" s="2"/>
      <c r="N25" s="34"/>
    </row>
    <row r="26" spans="1:14" x14ac:dyDescent="0.25">
      <c r="A26" s="10">
        <v>21</v>
      </c>
      <c r="B26" s="129"/>
      <c r="C26" s="11"/>
      <c r="D26" s="25">
        <f t="shared" si="0"/>
        <v>0</v>
      </c>
      <c r="G26" s="2" t="s">
        <v>185</v>
      </c>
      <c r="H26" s="24"/>
      <c r="I26" s="24"/>
      <c r="J26" s="110"/>
      <c r="K26" s="406"/>
      <c r="L26" s="24">
        <f>+L24/K19</f>
        <v>30651.540322580579</v>
      </c>
    </row>
    <row r="27" spans="1:14" x14ac:dyDescent="0.25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06"/>
      <c r="L27" s="110"/>
    </row>
    <row r="28" spans="1:14" x14ac:dyDescent="0.25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06"/>
      <c r="L28" s="110"/>
    </row>
    <row r="29" spans="1:14" x14ac:dyDescent="0.25">
      <c r="A29" s="10">
        <v>24</v>
      </c>
      <c r="B29" s="129"/>
      <c r="C29" s="11"/>
      <c r="D29" s="25">
        <f t="shared" si="0"/>
        <v>0</v>
      </c>
    </row>
    <row r="30" spans="1:14" x14ac:dyDescent="0.25">
      <c r="A30" s="10">
        <v>25</v>
      </c>
      <c r="B30" s="129"/>
      <c r="C30" s="11"/>
      <c r="D30" s="25">
        <f t="shared" si="0"/>
        <v>0</v>
      </c>
    </row>
    <row r="31" spans="1:14" x14ac:dyDescent="0.25">
      <c r="A31" s="10">
        <v>26</v>
      </c>
      <c r="B31" s="129"/>
      <c r="C31" s="11"/>
      <c r="D31" s="25">
        <f t="shared" si="0"/>
        <v>0</v>
      </c>
    </row>
    <row r="32" spans="1:14" x14ac:dyDescent="0.25">
      <c r="A32" s="10">
        <v>27</v>
      </c>
      <c r="B32" s="129"/>
      <c r="C32" s="11"/>
      <c r="D32" s="25">
        <f t="shared" si="0"/>
        <v>0</v>
      </c>
    </row>
    <row r="33" spans="1:4" x14ac:dyDescent="0.25">
      <c r="A33" s="10">
        <v>28</v>
      </c>
      <c r="B33" s="129"/>
      <c r="C33" s="11"/>
      <c r="D33" s="25">
        <f t="shared" si="0"/>
        <v>0</v>
      </c>
    </row>
    <row r="34" spans="1:4" x14ac:dyDescent="0.25">
      <c r="A34" s="10">
        <v>29</v>
      </c>
      <c r="B34" s="129"/>
      <c r="C34" s="11"/>
      <c r="D34" s="25">
        <f t="shared" si="0"/>
        <v>0</v>
      </c>
    </row>
    <row r="35" spans="1:4" x14ac:dyDescent="0.25">
      <c r="A35" s="10">
        <v>30</v>
      </c>
      <c r="B35" s="129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-388891</v>
      </c>
      <c r="C37" s="11">
        <f>SUM(C6:C36)</f>
        <v>-391177</v>
      </c>
      <c r="D37" s="25">
        <f>SUM(D6:D36)</f>
        <v>-2286</v>
      </c>
    </row>
    <row r="38" spans="1:4" x14ac:dyDescent="0.25">
      <c r="A38" s="26"/>
      <c r="C38" s="14"/>
      <c r="D38" s="326">
        <f>+summary!G4</f>
        <v>2.48</v>
      </c>
    </row>
    <row r="39" spans="1:4" x14ac:dyDescent="0.25">
      <c r="D39" s="138">
        <f>+D38*D37</f>
        <v>-5669.28</v>
      </c>
    </row>
    <row r="40" spans="1:4" x14ac:dyDescent="0.25">
      <c r="A40" s="57">
        <v>37315</v>
      </c>
      <c r="C40" s="15"/>
      <c r="D40" s="613">
        <v>15394.13</v>
      </c>
    </row>
    <row r="41" spans="1:4" x14ac:dyDescent="0.25">
      <c r="A41" s="57">
        <v>37325</v>
      </c>
      <c r="C41" s="48"/>
      <c r="D41" s="138">
        <f>+D40+D39</f>
        <v>9724.8499999999985</v>
      </c>
    </row>
    <row r="44" spans="1:4" x14ac:dyDescent="0.25">
      <c r="A44" s="32" t="s">
        <v>148</v>
      </c>
      <c r="B44" s="32"/>
      <c r="C44" s="32"/>
      <c r="D44" s="32"/>
    </row>
    <row r="45" spans="1:4" x14ac:dyDescent="0.25">
      <c r="A45" s="49">
        <f>+A40</f>
        <v>37315</v>
      </c>
      <c r="B45" s="32"/>
      <c r="C45" s="32"/>
      <c r="D45" s="608">
        <v>94380</v>
      </c>
    </row>
    <row r="46" spans="1:4" x14ac:dyDescent="0.25">
      <c r="A46" s="49">
        <f>+A41</f>
        <v>37325</v>
      </c>
      <c r="B46" s="32"/>
      <c r="C46" s="32"/>
      <c r="D46" s="348">
        <f>+D37</f>
        <v>-2286</v>
      </c>
    </row>
    <row r="47" spans="1:4" x14ac:dyDescent="0.25">
      <c r="A47" s="32"/>
      <c r="B47" s="32"/>
      <c r="C47" s="32"/>
      <c r="D47" s="14">
        <f>+D46+D45</f>
        <v>92094</v>
      </c>
    </row>
    <row r="48" spans="1:4" x14ac:dyDescent="0.25">
      <c r="A48" s="139"/>
      <c r="B48" s="119"/>
      <c r="C48" s="140"/>
      <c r="D48" s="140"/>
    </row>
    <row r="55" spans="4:4" x14ac:dyDescent="0.25">
      <c r="D55" s="32">
        <f>+D41/D47</f>
        <v>0.10559699871870044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784"/>
  <sheetViews>
    <sheetView topLeftCell="A7" workbookViewId="0">
      <selection activeCell="C84" sqref="C84:C89"/>
    </sheetView>
  </sheetViews>
  <sheetFormatPr defaultColWidth="9.109375" defaultRowHeight="13.2" x14ac:dyDescent="0.25"/>
  <cols>
    <col min="1" max="1" width="25.88671875" style="285" customWidth="1"/>
    <col min="2" max="2" width="11.109375" style="540" bestFit="1" customWidth="1"/>
    <col min="3" max="3" width="9.6640625" style="541" customWidth="1"/>
    <col min="4" max="4" width="5.109375" style="542" customWidth="1"/>
    <col min="5" max="5" width="11.109375" style="285" bestFit="1" customWidth="1"/>
    <col min="6" max="7" width="12.88671875" style="285" bestFit="1" customWidth="1"/>
    <col min="8" max="8" width="9.109375" style="285"/>
    <col min="9" max="9" width="9.33203125" style="285" bestFit="1" customWidth="1"/>
    <col min="10" max="10" width="11.33203125" style="285" bestFit="1" customWidth="1"/>
    <col min="11" max="11" width="8.44140625" style="285" customWidth="1"/>
    <col min="12" max="12" width="5.109375" style="285" customWidth="1"/>
    <col min="13" max="13" width="9.109375" style="285"/>
    <col min="14" max="14" width="9.88671875" style="544" bestFit="1" customWidth="1"/>
    <col min="15" max="15" width="9" style="545" bestFit="1" customWidth="1"/>
    <col min="16" max="16384" width="9.109375" style="285"/>
  </cols>
  <sheetData>
    <row r="2" spans="1:33" ht="17.100000000000001" customHeight="1" x14ac:dyDescent="0.25">
      <c r="A2" s="34" t="s">
        <v>140</v>
      </c>
      <c r="F2" s="361" t="s">
        <v>78</v>
      </c>
      <c r="G2" s="543"/>
    </row>
    <row r="3" spans="1:33" ht="15" customHeight="1" x14ac:dyDescent="0.25">
      <c r="F3" s="546" t="s">
        <v>29</v>
      </c>
      <c r="G3" s="547">
        <f>+'[3]1001'!$K$39</f>
        <v>2.48</v>
      </c>
      <c r="J3" s="372">
        <f ca="1">NOW()</f>
        <v>37327.764036342596</v>
      </c>
    </row>
    <row r="4" spans="1:33" ht="15" customHeight="1" x14ac:dyDescent="0.25">
      <c r="A4" s="34" t="s">
        <v>144</v>
      </c>
      <c r="C4" s="34" t="s">
        <v>5</v>
      </c>
      <c r="F4" s="548" t="s">
        <v>30</v>
      </c>
      <c r="G4" s="549">
        <f>+'[3]1001'!$M$39</f>
        <v>2.48</v>
      </c>
      <c r="H4" s="548"/>
      <c r="I4" s="593"/>
    </row>
    <row r="5" spans="1:33" ht="15" customHeight="1" x14ac:dyDescent="0.25">
      <c r="B5" s="550"/>
      <c r="F5" s="546" t="s">
        <v>117</v>
      </c>
      <c r="G5" s="547">
        <f>+'[3]1001'!$E$39</f>
        <v>2.4900000000000002</v>
      </c>
      <c r="H5" s="546" t="s">
        <v>314</v>
      </c>
      <c r="I5" s="547">
        <v>2.2999999999999998</v>
      </c>
    </row>
    <row r="6" spans="1:33" ht="12" customHeight="1" x14ac:dyDescent="0.25">
      <c r="C6" s="438"/>
    </row>
    <row r="7" spans="1:33" ht="15" customHeight="1" x14ac:dyDescent="0.25">
      <c r="A7" s="334" t="s">
        <v>89</v>
      </c>
      <c r="B7" s="335" t="s">
        <v>16</v>
      </c>
      <c r="C7" s="336" t="s">
        <v>0</v>
      </c>
      <c r="D7" s="5" t="s">
        <v>145</v>
      </c>
      <c r="E7" s="334" t="s">
        <v>90</v>
      </c>
      <c r="F7" s="337" t="s">
        <v>297</v>
      </c>
      <c r="G7" s="337" t="s">
        <v>101</v>
      </c>
      <c r="H7" s="334" t="s">
        <v>98</v>
      </c>
    </row>
    <row r="8" spans="1:33" ht="15" customHeight="1" x14ac:dyDescent="0.25">
      <c r="A8" s="32" t="s">
        <v>82</v>
      </c>
      <c r="B8" s="344">
        <f>+PNM!$D$23</f>
        <v>732808.44</v>
      </c>
      <c r="C8" s="275">
        <f t="shared" ref="C8:C14" si="0">+B8/$G$4</f>
        <v>295487.27419354836</v>
      </c>
      <c r="D8" s="363">
        <f>+PNM!A23</f>
        <v>37326</v>
      </c>
      <c r="E8" s="32" t="s">
        <v>85</v>
      </c>
      <c r="F8" s="32" t="s">
        <v>298</v>
      </c>
      <c r="G8" s="32" t="s">
        <v>289</v>
      </c>
      <c r="H8" s="32" t="s">
        <v>317</v>
      </c>
      <c r="I8" s="32"/>
      <c r="J8" s="32"/>
      <c r="K8" s="32"/>
      <c r="L8" s="32"/>
      <c r="M8" s="32"/>
      <c r="N8" s="378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5">
      <c r="A9" s="32" t="s">
        <v>80</v>
      </c>
      <c r="B9" s="590">
        <f>+Conoco!$F$41</f>
        <v>411860.13</v>
      </c>
      <c r="C9" s="275">
        <f t="shared" si="0"/>
        <v>166072.63306451612</v>
      </c>
      <c r="D9" s="362">
        <f>+Conoco!A41</f>
        <v>37326</v>
      </c>
      <c r="E9" s="32" t="s">
        <v>85</v>
      </c>
      <c r="F9" s="32" t="s">
        <v>299</v>
      </c>
      <c r="G9" s="32" t="s">
        <v>113</v>
      </c>
      <c r="H9" s="32" t="s">
        <v>311</v>
      </c>
      <c r="I9" s="32"/>
      <c r="J9" s="32"/>
      <c r="K9" s="32"/>
      <c r="L9" s="32"/>
      <c r="M9" s="32"/>
      <c r="N9" s="378"/>
      <c r="O9" s="70"/>
      <c r="P9" s="32"/>
      <c r="Q9" s="32"/>
      <c r="R9" s="32"/>
      <c r="S9" s="32"/>
      <c r="T9" s="32"/>
      <c r="U9" s="15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5">
      <c r="A10" s="32" t="s">
        <v>107</v>
      </c>
      <c r="B10" s="590">
        <f>+KN_Westar!F41</f>
        <v>329320.86</v>
      </c>
      <c r="C10" s="275">
        <f t="shared" si="0"/>
        <v>132790.6693548387</v>
      </c>
      <c r="D10" s="363">
        <f>+KN_Westar!A41</f>
        <v>37317</v>
      </c>
      <c r="E10" s="32" t="s">
        <v>85</v>
      </c>
      <c r="F10" s="32" t="s">
        <v>153</v>
      </c>
      <c r="G10" s="32" t="s">
        <v>289</v>
      </c>
      <c r="H10" s="32"/>
      <c r="I10" s="32"/>
      <c r="J10" s="32"/>
      <c r="K10" s="32"/>
      <c r="L10" s="32"/>
      <c r="M10" s="32"/>
      <c r="N10" s="378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5">
      <c r="A11" s="32" t="s">
        <v>2</v>
      </c>
      <c r="B11" s="344">
        <f>+mewborne!$J$43</f>
        <v>315959.76</v>
      </c>
      <c r="C11" s="275">
        <f t="shared" si="0"/>
        <v>127403.12903225808</v>
      </c>
      <c r="D11" s="363">
        <f>+mewborne!A43</f>
        <v>37326</v>
      </c>
      <c r="E11" s="32" t="s">
        <v>85</v>
      </c>
      <c r="F11" s="32" t="s">
        <v>298</v>
      </c>
      <c r="G11" s="32" t="s">
        <v>99</v>
      </c>
      <c r="H11" s="32"/>
      <c r="I11" s="32"/>
      <c r="J11" s="32"/>
      <c r="K11" s="32"/>
      <c r="L11" s="32"/>
      <c r="M11" s="32"/>
      <c r="N11" s="378"/>
      <c r="O11" s="70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5">
      <c r="A12" s="32" t="s">
        <v>3</v>
      </c>
      <c r="B12" s="590">
        <f>+'Amoco Abo'!$F$43</f>
        <v>237281.22999999998</v>
      </c>
      <c r="C12" s="275">
        <f t="shared" si="0"/>
        <v>95677.915322580637</v>
      </c>
      <c r="D12" s="363">
        <f>+'Amoco Abo'!A43</f>
        <v>37326</v>
      </c>
      <c r="E12" s="32" t="s">
        <v>85</v>
      </c>
      <c r="F12" s="32" t="s">
        <v>152</v>
      </c>
      <c r="G12" s="32" t="s">
        <v>115</v>
      </c>
      <c r="H12" s="32"/>
      <c r="I12" s="32"/>
      <c r="J12" s="32"/>
      <c r="K12" s="32"/>
      <c r="L12" s="32"/>
      <c r="M12" s="32"/>
      <c r="N12" s="378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3.5" customHeight="1" x14ac:dyDescent="0.25">
      <c r="A13" s="32" t="s">
        <v>206</v>
      </c>
      <c r="B13" s="344">
        <f>+Dominion!D41</f>
        <v>170917.77000000002</v>
      </c>
      <c r="C13" s="275">
        <f>+B13/$G$5</f>
        <v>68641.674698795177</v>
      </c>
      <c r="D13" s="363">
        <f>+Dominion!A41</f>
        <v>37325</v>
      </c>
      <c r="E13" s="32" t="s">
        <v>85</v>
      </c>
      <c r="F13" s="32" t="s">
        <v>298</v>
      </c>
      <c r="G13" s="32" t="s">
        <v>99</v>
      </c>
      <c r="H13" s="32"/>
      <c r="I13" s="32"/>
      <c r="J13" s="32"/>
      <c r="K13" s="32"/>
      <c r="L13" s="32"/>
      <c r="M13" s="32"/>
      <c r="N13" s="378" t="e">
        <f>+#REF!+#REF!+B41</f>
        <v>#REF!</v>
      </c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3.5" customHeight="1" x14ac:dyDescent="0.25">
      <c r="A14" s="441" t="s">
        <v>79</v>
      </c>
      <c r="B14" s="499">
        <f>+Agave!$D$25</f>
        <v>133281.11000000002</v>
      </c>
      <c r="C14" s="461">
        <f t="shared" si="0"/>
        <v>53742.383064516136</v>
      </c>
      <c r="D14" s="460">
        <f>+Agave!A25</f>
        <v>37326</v>
      </c>
      <c r="E14" s="441" t="s">
        <v>85</v>
      </c>
      <c r="F14" s="441" t="s">
        <v>299</v>
      </c>
      <c r="G14" s="441" t="s">
        <v>102</v>
      </c>
      <c r="H14" s="441"/>
      <c r="I14" s="32"/>
      <c r="J14" s="32"/>
      <c r="K14" s="32"/>
      <c r="L14" s="32"/>
      <c r="M14" s="32"/>
      <c r="N14" s="378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5">
      <c r="A15" s="32" t="s">
        <v>217</v>
      </c>
      <c r="B15" s="344">
        <f>+Amarillo!P41</f>
        <v>127498.97</v>
      </c>
      <c r="C15" s="275">
        <f>+B15/$G$4</f>
        <v>51410.875</v>
      </c>
      <c r="D15" s="363">
        <f>+Amarillo!A41</f>
        <v>37324</v>
      </c>
      <c r="E15" s="32" t="s">
        <v>85</v>
      </c>
      <c r="F15" s="32" t="s">
        <v>299</v>
      </c>
      <c r="G15" s="32" t="s">
        <v>113</v>
      </c>
      <c r="H15" s="32"/>
      <c r="I15" s="32"/>
      <c r="J15" s="32"/>
      <c r="K15" s="32"/>
      <c r="L15" s="32"/>
      <c r="M15" s="32"/>
      <c r="N15" s="378"/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5">
      <c r="A16" s="32" t="s">
        <v>23</v>
      </c>
      <c r="B16" s="344">
        <f>+C16*$G$3</f>
        <v>86921.52</v>
      </c>
      <c r="C16" s="346">
        <f>+'Red C'!$F$45</f>
        <v>35049</v>
      </c>
      <c r="D16" s="362">
        <f>+'Red C'!A45</f>
        <v>37326</v>
      </c>
      <c r="E16" s="204" t="s">
        <v>84</v>
      </c>
      <c r="F16" s="32" t="s">
        <v>152</v>
      </c>
      <c r="G16" s="32" t="s">
        <v>115</v>
      </c>
      <c r="H16" s="32"/>
      <c r="I16" s="32"/>
      <c r="J16" s="32"/>
      <c r="K16" s="32"/>
      <c r="L16" s="32"/>
      <c r="M16" s="32"/>
      <c r="N16" s="378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5">
      <c r="A17" s="32" t="s">
        <v>129</v>
      </c>
      <c r="B17" s="344">
        <f>+EPFS!D41</f>
        <v>143035.17000000001</v>
      </c>
      <c r="C17" s="206">
        <f>+B17/$G$5</f>
        <v>57443.843373493975</v>
      </c>
      <c r="D17" s="362">
        <f>+EPFS!A41</f>
        <v>37326</v>
      </c>
      <c r="E17" s="32" t="s">
        <v>85</v>
      </c>
      <c r="F17" s="32" t="s">
        <v>153</v>
      </c>
      <c r="G17" s="32" t="s">
        <v>102</v>
      </c>
      <c r="H17" s="32"/>
      <c r="I17" s="15"/>
      <c r="J17" s="32"/>
      <c r="K17" s="32"/>
      <c r="L17" s="32"/>
      <c r="M17" s="32"/>
      <c r="N17" s="378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5">
      <c r="A18" s="32" t="s">
        <v>31</v>
      </c>
      <c r="B18" s="344">
        <f>+C18*$G$5</f>
        <v>99704.58</v>
      </c>
      <c r="C18" s="275">
        <f>+Lonestar!F43</f>
        <v>40042</v>
      </c>
      <c r="D18" s="362">
        <f>+Lonestar!A43</f>
        <v>37325</v>
      </c>
      <c r="E18" s="32" t="s">
        <v>84</v>
      </c>
      <c r="F18" s="32" t="s">
        <v>299</v>
      </c>
      <c r="G18" s="32" t="s">
        <v>102</v>
      </c>
      <c r="H18" s="32"/>
      <c r="I18" s="32"/>
      <c r="J18" s="32"/>
      <c r="K18" s="32"/>
      <c r="L18" s="32"/>
      <c r="M18" s="32"/>
      <c r="N18" s="378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5">
      <c r="A19" s="32" t="s">
        <v>296</v>
      </c>
      <c r="B19" s="344">
        <f>+Stratland!$D$41</f>
        <v>69765.440000000002</v>
      </c>
      <c r="C19" s="275">
        <f>+B19/$G$4</f>
        <v>28131.225806451614</v>
      </c>
      <c r="D19" s="362">
        <f>+Stratland!A41</f>
        <v>37315</v>
      </c>
      <c r="E19" s="32" t="s">
        <v>85</v>
      </c>
      <c r="F19" s="32" t="s">
        <v>298</v>
      </c>
      <c r="G19" s="32" t="s">
        <v>102</v>
      </c>
      <c r="H19" s="32"/>
      <c r="I19" s="204"/>
      <c r="J19" s="32"/>
      <c r="K19" s="32"/>
      <c r="L19" s="32"/>
      <c r="M19" s="32"/>
      <c r="N19" s="378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5">
      <c r="A20" s="204" t="s">
        <v>142</v>
      </c>
      <c r="B20" s="345">
        <f>+C20*$G$4</f>
        <v>18426.400000000001</v>
      </c>
      <c r="C20" s="346">
        <f>+PEPL!D41</f>
        <v>7430</v>
      </c>
      <c r="D20" s="362">
        <f>+PEPL!A41</f>
        <v>37325</v>
      </c>
      <c r="E20" s="204" t="s">
        <v>84</v>
      </c>
      <c r="F20" s="204" t="s">
        <v>299</v>
      </c>
      <c r="G20" s="204" t="s">
        <v>100</v>
      </c>
      <c r="H20" s="32"/>
      <c r="I20" s="32"/>
      <c r="J20" s="32"/>
      <c r="K20" s="32"/>
      <c r="L20" s="32"/>
      <c r="M20" s="32" t="s">
        <v>242</v>
      </c>
      <c r="N20" s="378">
        <v>22864</v>
      </c>
      <c r="O20" s="70">
        <v>-58339.66</v>
      </c>
      <c r="P20" s="32" t="s">
        <v>245</v>
      </c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2.9" customHeight="1" x14ac:dyDescent="0.25">
      <c r="A21" s="204" t="s">
        <v>305</v>
      </c>
      <c r="B21" s="344">
        <f>+Plains!$N$43</f>
        <v>66185.02</v>
      </c>
      <c r="C21" s="206">
        <f>+B21/$G$4</f>
        <v>26687.508064516132</v>
      </c>
      <c r="D21" s="362">
        <f>+Plains!A43</f>
        <v>37315</v>
      </c>
      <c r="E21" s="204" t="s">
        <v>85</v>
      </c>
      <c r="F21" s="204"/>
      <c r="G21" s="204" t="s">
        <v>100</v>
      </c>
      <c r="H21" s="204"/>
      <c r="I21" s="204"/>
      <c r="J21" s="32"/>
      <c r="K21" s="32"/>
      <c r="L21" s="32"/>
      <c r="M21" s="32" t="s">
        <v>242</v>
      </c>
      <c r="N21" s="378">
        <v>20379</v>
      </c>
      <c r="O21" s="70">
        <v>-51695.87</v>
      </c>
      <c r="P21" s="32" t="s">
        <v>245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5">
      <c r="A22" s="204" t="s">
        <v>87</v>
      </c>
      <c r="B22" s="590">
        <f>+NNG!$D$24</f>
        <v>41456</v>
      </c>
      <c r="C22" s="275">
        <f>+B22/$G$4</f>
        <v>16716.129032258064</v>
      </c>
      <c r="D22" s="362">
        <f>+NNG!A24</f>
        <v>37326</v>
      </c>
      <c r="E22" s="204" t="s">
        <v>85</v>
      </c>
      <c r="F22" s="204" t="s">
        <v>298</v>
      </c>
      <c r="G22" s="204" t="s">
        <v>100</v>
      </c>
      <c r="H22" s="204"/>
      <c r="I22" s="589"/>
      <c r="J22" s="32"/>
      <c r="K22" s="32"/>
      <c r="L22" s="32"/>
      <c r="M22" s="32" t="s">
        <v>242</v>
      </c>
      <c r="N22" s="378">
        <v>26357</v>
      </c>
      <c r="O22" s="70">
        <v>44144.84</v>
      </c>
      <c r="P22" s="32" t="s">
        <v>245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5">
      <c r="A23" s="32" t="s">
        <v>88</v>
      </c>
      <c r="B23" s="344">
        <f>+C23*$G$5</f>
        <v>-157143.90000000002</v>
      </c>
      <c r="C23" s="275">
        <f>+NGPL!H38</f>
        <v>-63110</v>
      </c>
      <c r="D23" s="363">
        <f>+NGPL!A38</f>
        <v>37324</v>
      </c>
      <c r="E23" s="204" t="s">
        <v>84</v>
      </c>
      <c r="F23" s="32" t="s">
        <v>152</v>
      </c>
      <c r="G23" s="32" t="s">
        <v>115</v>
      </c>
      <c r="H23" s="32"/>
      <c r="I23" s="32"/>
      <c r="J23" s="32"/>
      <c r="K23" s="32"/>
      <c r="L23" s="32"/>
      <c r="M23" s="32" t="s">
        <v>242</v>
      </c>
      <c r="N23" s="378">
        <v>21544</v>
      </c>
      <c r="O23" s="70">
        <v>61340.160000000003</v>
      </c>
      <c r="P23" s="32" t="s">
        <v>245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s="551" customFormat="1" ht="13.5" customHeight="1" x14ac:dyDescent="0.25">
      <c r="A24" s="204" t="s">
        <v>146</v>
      </c>
      <c r="B24" s="344">
        <f>+PGETX!$H$39</f>
        <v>52580.800000000003</v>
      </c>
      <c r="C24" s="275">
        <f>+B24/$G$4</f>
        <v>21201.93548387097</v>
      </c>
      <c r="D24" s="362">
        <f>+PGETX!E39</f>
        <v>37325</v>
      </c>
      <c r="E24" s="204" t="s">
        <v>85</v>
      </c>
      <c r="F24" s="204" t="s">
        <v>153</v>
      </c>
      <c r="G24" s="204" t="s">
        <v>102</v>
      </c>
      <c r="H24" s="204"/>
      <c r="I24" s="32"/>
      <c r="J24" s="204"/>
      <c r="K24" s="204"/>
      <c r="L24" s="204"/>
      <c r="M24" s="204"/>
      <c r="N24" s="468"/>
      <c r="O24" s="273"/>
      <c r="P24" s="273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</row>
    <row r="25" spans="1:33" s="551" customFormat="1" ht="13.5" customHeight="1" x14ac:dyDescent="0.25">
      <c r="A25" s="204" t="s">
        <v>109</v>
      </c>
      <c r="B25" s="344">
        <f>+Continental!F43</f>
        <v>59434.94</v>
      </c>
      <c r="C25" s="206">
        <f>+B25/$G$4</f>
        <v>23965.701612903227</v>
      </c>
      <c r="D25" s="362">
        <f>+Continental!A43</f>
        <v>37324</v>
      </c>
      <c r="E25" s="204" t="s">
        <v>85</v>
      </c>
      <c r="F25" s="204" t="s">
        <v>153</v>
      </c>
      <c r="G25" s="204" t="s">
        <v>115</v>
      </c>
      <c r="H25" s="204"/>
      <c r="I25" s="441"/>
      <c r="J25" s="204"/>
      <c r="K25" s="204"/>
      <c r="L25" s="204"/>
      <c r="M25" s="204" t="s">
        <v>243</v>
      </c>
      <c r="N25" s="468">
        <v>24361</v>
      </c>
      <c r="O25" s="273">
        <v>811179.69</v>
      </c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</row>
    <row r="26" spans="1:33" ht="13.5" customHeight="1" x14ac:dyDescent="0.25">
      <c r="A26" s="204" t="s">
        <v>139</v>
      </c>
      <c r="B26" s="344">
        <f>+'Citizens-Griffith'!D41</f>
        <v>41478.14</v>
      </c>
      <c r="C26" s="275">
        <f>+B26/$G$4</f>
        <v>16725.056451612902</v>
      </c>
      <c r="D26" s="362">
        <f>+'Citizens-Griffith'!A41</f>
        <v>37325</v>
      </c>
      <c r="E26" s="204" t="s">
        <v>85</v>
      </c>
      <c r="F26" s="204" t="s">
        <v>299</v>
      </c>
      <c r="G26" s="204" t="s">
        <v>99</v>
      </c>
      <c r="H26" s="204"/>
      <c r="I26" s="204"/>
      <c r="J26" s="32"/>
      <c r="K26" s="32"/>
      <c r="L26" s="32"/>
      <c r="M26" s="32" t="s">
        <v>242</v>
      </c>
      <c r="N26" s="378">
        <v>26357</v>
      </c>
      <c r="O26" s="70">
        <v>44144.84</v>
      </c>
      <c r="P26" s="32" t="s">
        <v>245</v>
      </c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pans="1:33" s="551" customFormat="1" ht="13.5" customHeight="1" x14ac:dyDescent="0.25">
      <c r="A27" s="32" t="s">
        <v>110</v>
      </c>
      <c r="B27" s="344">
        <f>+C27*$G$4</f>
        <v>43615.76</v>
      </c>
      <c r="C27" s="275">
        <f>+CIG!D42</f>
        <v>17587</v>
      </c>
      <c r="D27" s="363">
        <f>+CIG!A42</f>
        <v>37323</v>
      </c>
      <c r="E27" s="204" t="s">
        <v>84</v>
      </c>
      <c r="F27" s="32" t="s">
        <v>153</v>
      </c>
      <c r="G27" s="32" t="s">
        <v>113</v>
      </c>
      <c r="H27" s="585" t="s">
        <v>313</v>
      </c>
      <c r="I27" s="592"/>
      <c r="J27" s="204"/>
      <c r="K27" s="204"/>
      <c r="L27" s="204"/>
      <c r="M27" s="204"/>
      <c r="N27" s="468"/>
      <c r="O27" s="273"/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</row>
    <row r="28" spans="1:33" s="551" customFormat="1" ht="13.5" customHeight="1" x14ac:dyDescent="0.25">
      <c r="A28" s="204" t="s">
        <v>28</v>
      </c>
      <c r="B28" s="344">
        <f>+C28*$G$3</f>
        <v>50510.159999999996</v>
      </c>
      <c r="C28" s="275">
        <f>+williams!J40</f>
        <v>20367</v>
      </c>
      <c r="D28" s="362">
        <f>+williams!A40</f>
        <v>37326</v>
      </c>
      <c r="E28" s="204" t="s">
        <v>85</v>
      </c>
      <c r="F28" s="204" t="s">
        <v>153</v>
      </c>
      <c r="G28" s="204" t="s">
        <v>289</v>
      </c>
      <c r="H28" s="592" t="s">
        <v>316</v>
      </c>
      <c r="I28" s="585"/>
      <c r="J28" s="204"/>
      <c r="K28" s="204"/>
      <c r="L28" s="204"/>
      <c r="M28" s="204"/>
      <c r="N28" s="468"/>
      <c r="O28" s="273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ht="15" customHeight="1" x14ac:dyDescent="0.25">
      <c r="A29" s="32" t="s">
        <v>114</v>
      </c>
      <c r="B29" s="344">
        <f>+C29*$G$4</f>
        <v>10249.84</v>
      </c>
      <c r="C29" s="206">
        <f>+'PG&amp;E'!D40</f>
        <v>4133</v>
      </c>
      <c r="D29" s="363">
        <f>+'PG&amp;E'!A40</f>
        <v>37326</v>
      </c>
      <c r="E29" s="32" t="s">
        <v>84</v>
      </c>
      <c r="F29" s="32" t="s">
        <v>153</v>
      </c>
      <c r="G29" s="32" t="s">
        <v>102</v>
      </c>
      <c r="H29" s="32"/>
      <c r="I29" s="32"/>
      <c r="J29" s="32"/>
      <c r="K29" s="32"/>
      <c r="L29" s="32"/>
      <c r="M29" s="32"/>
      <c r="N29" s="378"/>
      <c r="O29" s="70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</row>
    <row r="30" spans="1:33" ht="13.5" customHeight="1" x14ac:dyDescent="0.25">
      <c r="A30" s="32" t="s">
        <v>6</v>
      </c>
      <c r="B30" s="590">
        <f>+Oasis!$D$40</f>
        <v>93925.53</v>
      </c>
      <c r="C30" s="206">
        <f>+B30/$G$5</f>
        <v>37721.096385542165</v>
      </c>
      <c r="D30" s="363">
        <f>+Oasis!A40</f>
        <v>37325</v>
      </c>
      <c r="E30" s="32" t="s">
        <v>85</v>
      </c>
      <c r="F30" s="32" t="s">
        <v>153</v>
      </c>
      <c r="G30" s="32" t="s">
        <v>102</v>
      </c>
      <c r="H30" s="32"/>
      <c r="I30" s="32"/>
      <c r="J30" s="32"/>
      <c r="K30" s="32"/>
      <c r="L30" s="32"/>
      <c r="M30" s="32"/>
      <c r="N30" s="378"/>
      <c r="O30" s="70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 s="551" customFormat="1" ht="13.5" customHeight="1" x14ac:dyDescent="0.25">
      <c r="A31" s="32" t="s">
        <v>131</v>
      </c>
      <c r="B31" s="590">
        <f>+SidR!D41</f>
        <v>6104.6399999999994</v>
      </c>
      <c r="C31" s="275">
        <f>+B31/$G$5</f>
        <v>2451.662650602409</v>
      </c>
      <c r="D31" s="363">
        <f>+SidR!A41</f>
        <v>37326</v>
      </c>
      <c r="E31" s="32" t="s">
        <v>85</v>
      </c>
      <c r="F31" s="32" t="s">
        <v>151</v>
      </c>
      <c r="G31" s="32" t="s">
        <v>102</v>
      </c>
      <c r="H31" s="32"/>
      <c r="I31" s="204"/>
      <c r="J31" s="204"/>
      <c r="K31" s="204"/>
      <c r="L31" s="204"/>
      <c r="M31" s="204"/>
      <c r="N31" s="468"/>
      <c r="O31" s="273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5">
      <c r="A32" s="32" t="s">
        <v>279</v>
      </c>
      <c r="B32" s="344">
        <f>+'WTG inc'!N43</f>
        <v>16899.329999999998</v>
      </c>
      <c r="C32" s="275">
        <f>+B32/$G$4</f>
        <v>6814.2459677419347</v>
      </c>
      <c r="D32" s="363">
        <f>+'WTG inc'!A43</f>
        <v>37323</v>
      </c>
      <c r="E32" s="32" t="s">
        <v>85</v>
      </c>
      <c r="F32" s="32" t="s">
        <v>152</v>
      </c>
      <c r="G32" s="32" t="s">
        <v>115</v>
      </c>
      <c r="H32" s="204"/>
      <c r="I32" s="204"/>
      <c r="J32" s="32"/>
      <c r="K32" s="32"/>
      <c r="L32" s="32"/>
      <c r="M32" s="32"/>
      <c r="N32" s="378"/>
      <c r="O32" s="70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ht="13.5" customHeight="1" x14ac:dyDescent="0.25">
      <c r="A33" s="204" t="s">
        <v>71</v>
      </c>
      <c r="B33" s="345">
        <f>+transcol!$D$43</f>
        <v>15366.27</v>
      </c>
      <c r="C33" s="346">
        <f>+B33/$G$4</f>
        <v>6196.0766129032263</v>
      </c>
      <c r="D33" s="362">
        <f>+transcol!A43</f>
        <v>37325</v>
      </c>
      <c r="E33" s="204" t="s">
        <v>85</v>
      </c>
      <c r="F33" s="204" t="s">
        <v>152</v>
      </c>
      <c r="G33" s="204" t="s">
        <v>115</v>
      </c>
      <c r="H33" s="204"/>
      <c r="I33" s="32"/>
      <c r="J33" s="32"/>
      <c r="K33" s="32"/>
      <c r="L33" s="32"/>
      <c r="M33" s="32"/>
      <c r="N33" s="378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ht="13.5" customHeight="1" x14ac:dyDescent="0.25">
      <c r="A34" s="204" t="s">
        <v>33</v>
      </c>
      <c r="B34" s="344">
        <f>+'El Paso'!C39*summary!G4+'El Paso'!E39*summary!G3</f>
        <v>-2068.320000000007</v>
      </c>
      <c r="C34" s="275">
        <f>+'El Paso'!H39</f>
        <v>-834</v>
      </c>
      <c r="D34" s="362">
        <f>+'El Paso'!A39</f>
        <v>37326</v>
      </c>
      <c r="E34" s="204" t="s">
        <v>84</v>
      </c>
      <c r="F34" s="204" t="s">
        <v>153</v>
      </c>
      <c r="G34" s="204" t="s">
        <v>100</v>
      </c>
      <c r="H34" s="204"/>
      <c r="I34" s="589"/>
      <c r="J34" s="32"/>
      <c r="K34" s="32"/>
      <c r="L34" s="32"/>
      <c r="M34" s="32"/>
      <c r="N34" s="378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ht="13.5" customHeight="1" x14ac:dyDescent="0.25">
      <c r="A35" s="32" t="s">
        <v>209</v>
      </c>
      <c r="B35" s="344">
        <f>+Devon!D41</f>
        <v>10665.810000000001</v>
      </c>
      <c r="C35" s="275">
        <f>+B35/$G$5</f>
        <v>4283.4578313253014</v>
      </c>
      <c r="D35" s="363">
        <f>+Devon!A41</f>
        <v>37325</v>
      </c>
      <c r="E35" s="32" t="s">
        <v>85</v>
      </c>
      <c r="F35" s="32" t="s">
        <v>299</v>
      </c>
      <c r="G35" s="32" t="s">
        <v>99</v>
      </c>
      <c r="H35" s="585" t="s">
        <v>310</v>
      </c>
      <c r="I35" s="592"/>
      <c r="J35" s="32"/>
      <c r="K35" s="32"/>
      <c r="L35" s="32"/>
      <c r="M35" s="32"/>
      <c r="N35" s="378"/>
      <c r="O35" s="70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</row>
    <row r="36" spans="1:33" s="551" customFormat="1" ht="13.5" customHeight="1" x14ac:dyDescent="0.25">
      <c r="A36" s="32" t="s">
        <v>287</v>
      </c>
      <c r="B36" s="344">
        <f>+C36*$G$3</f>
        <v>-10597.039999999999</v>
      </c>
      <c r="C36" s="275">
        <f>+Amoco!D40</f>
        <v>-4273</v>
      </c>
      <c r="D36" s="363">
        <f>+Amoco!A40</f>
        <v>37325</v>
      </c>
      <c r="E36" s="32" t="s">
        <v>84</v>
      </c>
      <c r="F36" s="32" t="s">
        <v>152</v>
      </c>
      <c r="G36" s="32" t="s">
        <v>115</v>
      </c>
      <c r="H36" s="204"/>
      <c r="I36" s="204"/>
      <c r="J36" s="204"/>
      <c r="K36" s="204"/>
      <c r="L36" s="204"/>
      <c r="M36" s="204"/>
      <c r="N36" s="468"/>
      <c r="O36" s="273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04"/>
      <c r="AG36" s="204"/>
    </row>
    <row r="37" spans="1:33" s="551" customFormat="1" ht="13.5" customHeight="1" x14ac:dyDescent="0.25">
      <c r="A37" s="32" t="s">
        <v>94</v>
      </c>
      <c r="B37" s="347">
        <f>+C37*$I$5</f>
        <v>1892.8999999999999</v>
      </c>
      <c r="C37" s="71">
        <f>+Mojave!D40</f>
        <v>823</v>
      </c>
      <c r="D37" s="363">
        <f>+Mojave!A40</f>
        <v>37325</v>
      </c>
      <c r="E37" s="32" t="s">
        <v>85</v>
      </c>
      <c r="F37" s="32" t="s">
        <v>153</v>
      </c>
      <c r="G37" s="32" t="s">
        <v>100</v>
      </c>
      <c r="H37" s="585" t="s">
        <v>315</v>
      </c>
      <c r="I37" s="585"/>
      <c r="J37" s="204"/>
      <c r="K37" s="204"/>
      <c r="L37" s="204"/>
      <c r="M37" s="204"/>
      <c r="N37" s="468"/>
      <c r="O37" s="273"/>
      <c r="P37" s="204"/>
      <c r="Q37" s="204"/>
      <c r="R37" s="204"/>
      <c r="S37" s="204"/>
      <c r="T37" s="204"/>
      <c r="U37" s="204"/>
      <c r="V37" s="204"/>
      <c r="W37" s="204"/>
      <c r="X37" s="204"/>
      <c r="Y37" s="204"/>
      <c r="Z37" s="204"/>
      <c r="AA37" s="204"/>
      <c r="AB37" s="204"/>
      <c r="AC37" s="204"/>
      <c r="AD37" s="204"/>
      <c r="AE37" s="204"/>
      <c r="AF37" s="204"/>
      <c r="AG37" s="204"/>
    </row>
    <row r="38" spans="1:33" ht="18" customHeight="1" x14ac:dyDescent="0.25">
      <c r="A38" s="32" t="s">
        <v>96</v>
      </c>
      <c r="B38" s="47">
        <f>SUM(B8:B37)</f>
        <v>3217337.2599999993</v>
      </c>
      <c r="C38" s="69">
        <f>SUM(C8:C37)</f>
        <v>1296778.493004275</v>
      </c>
      <c r="D38" s="203"/>
      <c r="E38" s="32"/>
      <c r="F38" s="32"/>
      <c r="G38" s="32"/>
      <c r="H38" s="32"/>
      <c r="I38" s="32"/>
      <c r="J38" s="32"/>
      <c r="K38" s="32"/>
      <c r="L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ht="15" customHeight="1" x14ac:dyDescent="0.25">
      <c r="A39" s="32"/>
      <c r="B39" s="47"/>
      <c r="C39" s="69"/>
      <c r="D39" s="203"/>
      <c r="E39" s="32"/>
      <c r="F39" s="349"/>
      <c r="G39" s="349"/>
      <c r="H39" s="32"/>
      <c r="I39" s="32"/>
      <c r="J39" s="32"/>
      <c r="K39" s="32"/>
      <c r="L39" s="32"/>
      <c r="M39" s="32"/>
      <c r="N39" s="378"/>
      <c r="O39" s="70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5" customHeight="1" x14ac:dyDescent="0.25">
      <c r="A40" s="334" t="s">
        <v>89</v>
      </c>
      <c r="B40" s="335" t="s">
        <v>16</v>
      </c>
      <c r="C40" s="336" t="s">
        <v>0</v>
      </c>
      <c r="D40" s="342" t="s">
        <v>145</v>
      </c>
      <c r="E40" s="334" t="s">
        <v>90</v>
      </c>
      <c r="F40" s="337" t="s">
        <v>101</v>
      </c>
      <c r="G40" s="337" t="s">
        <v>101</v>
      </c>
      <c r="H40" s="334" t="s">
        <v>98</v>
      </c>
      <c r="I40" s="32"/>
      <c r="J40" s="32"/>
      <c r="K40" s="32"/>
      <c r="L40" s="32"/>
      <c r="M40" s="32"/>
      <c r="N40" s="378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5" customHeight="1" x14ac:dyDescent="0.25">
      <c r="A41" s="204" t="s">
        <v>135</v>
      </c>
      <c r="B41" s="344">
        <f>+Citizens!D18</f>
        <v>-588382.12999999989</v>
      </c>
      <c r="C41" s="206">
        <f>+B41/$G$4</f>
        <v>-237250.8588709677</v>
      </c>
      <c r="D41" s="362">
        <f>+Citizens!A18</f>
        <v>37325</v>
      </c>
      <c r="E41" s="204" t="s">
        <v>85</v>
      </c>
      <c r="F41" s="204" t="s">
        <v>299</v>
      </c>
      <c r="G41" s="204" t="s">
        <v>99</v>
      </c>
      <c r="H41" s="350"/>
      <c r="I41" s="32"/>
      <c r="J41" s="32"/>
      <c r="K41" s="32"/>
      <c r="L41" s="32"/>
      <c r="M41" s="32"/>
      <c r="N41" s="378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2.9" customHeight="1" x14ac:dyDescent="0.25">
      <c r="A42" s="32" t="s">
        <v>133</v>
      </c>
      <c r="B42" s="344">
        <f>+'NS Steel'!D41</f>
        <v>-249702.26</v>
      </c>
      <c r="C42" s="206">
        <f>+B42/$G$4</f>
        <v>-100686.39516129033</v>
      </c>
      <c r="D42" s="363">
        <f>+'NS Steel'!A41</f>
        <v>37326</v>
      </c>
      <c r="E42" s="32" t="s">
        <v>85</v>
      </c>
      <c r="F42" s="32" t="s">
        <v>153</v>
      </c>
      <c r="G42" s="32" t="s">
        <v>100</v>
      </c>
      <c r="H42" s="350"/>
      <c r="I42" s="32"/>
      <c r="J42" s="32"/>
      <c r="K42" s="32"/>
      <c r="L42" s="32"/>
      <c r="M42" s="32"/>
      <c r="N42" s="378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2.9" customHeight="1" x14ac:dyDescent="0.25">
      <c r="A43" s="204" t="s">
        <v>256</v>
      </c>
      <c r="B43" s="344">
        <f>+MiVida_Rich!D41</f>
        <v>-191635</v>
      </c>
      <c r="C43" s="206">
        <f>+B43/$G$5</f>
        <v>-76961.847389558228</v>
      </c>
      <c r="D43" s="362">
        <f>+MiVida_Rich!A41</f>
        <v>37315</v>
      </c>
      <c r="E43" s="204" t="s">
        <v>85</v>
      </c>
      <c r="F43" s="204" t="s">
        <v>151</v>
      </c>
      <c r="G43" s="204" t="s">
        <v>102</v>
      </c>
      <c r="H43" s="350"/>
      <c r="I43" s="32"/>
      <c r="J43" s="32"/>
      <c r="K43" s="32"/>
      <c r="L43" s="32"/>
      <c r="M43" s="32"/>
      <c r="N43" s="378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" customHeight="1" x14ac:dyDescent="0.25">
      <c r="A44" s="32" t="s">
        <v>215</v>
      </c>
      <c r="B44" s="344">
        <f>+crosstex!F41</f>
        <v>-120523.6</v>
      </c>
      <c r="C44" s="206">
        <f>+B44/$G$4</f>
        <v>-48598.225806451614</v>
      </c>
      <c r="D44" s="363">
        <f>+crosstex!A41</f>
        <v>37323</v>
      </c>
      <c r="E44" s="32" t="s">
        <v>85</v>
      </c>
      <c r="F44" s="32" t="s">
        <v>151</v>
      </c>
      <c r="G44" s="32" t="s">
        <v>100</v>
      </c>
      <c r="H44" s="350"/>
      <c r="I44" s="249"/>
      <c r="J44" s="32"/>
      <c r="K44" s="32"/>
      <c r="L44" s="32"/>
      <c r="M44" s="32"/>
      <c r="N44" s="378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s="552" customFormat="1" ht="13.5" customHeight="1" x14ac:dyDescent="0.25">
      <c r="A45" s="204" t="s">
        <v>32</v>
      </c>
      <c r="B45" s="344">
        <f>+C45*$G$4</f>
        <v>-143668.88</v>
      </c>
      <c r="C45" s="206">
        <f>+SoCal!F40</f>
        <v>-57931</v>
      </c>
      <c r="D45" s="362">
        <f>+SoCal!A40</f>
        <v>37326</v>
      </c>
      <c r="E45" s="204" t="s">
        <v>84</v>
      </c>
      <c r="F45" s="204" t="s">
        <v>152</v>
      </c>
      <c r="G45" s="204" t="s">
        <v>102</v>
      </c>
      <c r="H45" s="32"/>
      <c r="I45" s="32"/>
      <c r="J45" s="249"/>
      <c r="K45" s="249"/>
      <c r="L45" s="249"/>
      <c r="M45" s="32"/>
      <c r="N45" s="468"/>
      <c r="O45" s="273"/>
      <c r="P45" s="249"/>
      <c r="Q45" s="249"/>
      <c r="R45" s="249"/>
      <c r="S45" s="249"/>
      <c r="T45" s="249"/>
      <c r="U45" s="249"/>
      <c r="V45" s="249"/>
      <c r="W45" s="249"/>
      <c r="X45" s="249"/>
      <c r="Y45" s="249"/>
      <c r="Z45" s="249"/>
      <c r="AA45" s="249"/>
      <c r="AB45" s="249"/>
      <c r="AC45" s="249"/>
      <c r="AD45" s="249"/>
      <c r="AE45" s="249"/>
      <c r="AF45" s="249"/>
      <c r="AG45" s="249"/>
    </row>
    <row r="46" spans="1:33" s="552" customFormat="1" ht="13.5" customHeight="1" x14ac:dyDescent="0.25">
      <c r="A46" s="204" t="s">
        <v>309</v>
      </c>
      <c r="B46" s="345">
        <f>+Duke!B83</f>
        <v>-108353.44000000018</v>
      </c>
      <c r="C46" s="346">
        <f>+B46/$G$5</f>
        <v>-43515.437751004087</v>
      </c>
      <c r="D46" s="362">
        <f>+DEFS!A40</f>
        <v>37323</v>
      </c>
      <c r="E46" s="204" t="s">
        <v>85</v>
      </c>
      <c r="F46" s="32" t="s">
        <v>152</v>
      </c>
      <c r="G46" s="32" t="s">
        <v>100</v>
      </c>
      <c r="H46" s="32"/>
      <c r="I46" s="32"/>
      <c r="J46" s="249"/>
      <c r="K46" s="249"/>
      <c r="L46" s="249"/>
      <c r="M46" s="32"/>
      <c r="N46" s="468"/>
      <c r="O46" s="273"/>
      <c r="P46" s="249"/>
      <c r="Q46" s="249"/>
      <c r="R46" s="249"/>
      <c r="S46" s="249"/>
      <c r="T46" s="249"/>
      <c r="U46" s="249"/>
      <c r="V46" s="249"/>
      <c r="W46" s="249"/>
      <c r="X46" s="249"/>
      <c r="Y46" s="249"/>
      <c r="Z46" s="249"/>
      <c r="AA46" s="249"/>
      <c r="AB46" s="249"/>
      <c r="AC46" s="249"/>
      <c r="AD46" s="249"/>
      <c r="AE46" s="249"/>
      <c r="AF46" s="249"/>
      <c r="AG46" s="249"/>
    </row>
    <row r="47" spans="1:33" ht="13.5" customHeight="1" x14ac:dyDescent="0.25">
      <c r="A47" s="32" t="s">
        <v>1</v>
      </c>
      <c r="B47" s="344">
        <f>+C47*$G$3</f>
        <v>-33785.040000000001</v>
      </c>
      <c r="C47" s="206">
        <f>+NW!$F$41</f>
        <v>-13623</v>
      </c>
      <c r="D47" s="362">
        <f>+NW!B41</f>
        <v>37325</v>
      </c>
      <c r="E47" s="32" t="s">
        <v>84</v>
      </c>
      <c r="F47" s="32" t="s">
        <v>152</v>
      </c>
      <c r="G47" s="32" t="s">
        <v>115</v>
      </c>
      <c r="H47" s="350"/>
      <c r="I47" s="32"/>
      <c r="J47" s="32"/>
      <c r="K47" s="32"/>
      <c r="L47" s="32"/>
      <c r="M47" s="32"/>
      <c r="N47" s="378"/>
      <c r="O47" s="70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</row>
    <row r="48" spans="1:33" ht="13.5" customHeight="1" x14ac:dyDescent="0.25">
      <c r="A48" s="204" t="s">
        <v>203</v>
      </c>
      <c r="B48" s="345">
        <f>+WTGmktg!J43</f>
        <v>-19880.599999999999</v>
      </c>
      <c r="C48" s="206">
        <f>+B48/$G$4</f>
        <v>-8016.3709677419347</v>
      </c>
      <c r="D48" s="362">
        <f>+WTGmktg!A43</f>
        <v>37323</v>
      </c>
      <c r="E48" s="32" t="s">
        <v>85</v>
      </c>
      <c r="F48" s="204" t="s">
        <v>152</v>
      </c>
      <c r="G48" s="204" t="s">
        <v>115</v>
      </c>
      <c r="H48" s="204"/>
      <c r="I48" s="204"/>
      <c r="J48" s="32"/>
      <c r="K48" s="32"/>
      <c r="L48" s="32"/>
      <c r="M48" s="32"/>
      <c r="N48" s="378"/>
      <c r="O48" s="70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s="551" customFormat="1" ht="13.5" customHeight="1" x14ac:dyDescent="0.25">
      <c r="A49" s="204" t="s">
        <v>95</v>
      </c>
      <c r="B49" s="344">
        <f>+burlington!D42</f>
        <v>-7276.0700000000006</v>
      </c>
      <c r="C49" s="275">
        <f>+B49/$G$3</f>
        <v>-2933.8991935483873</v>
      </c>
      <c r="D49" s="362">
        <f>+burlington!A42</f>
        <v>37325</v>
      </c>
      <c r="E49" s="204" t="s">
        <v>85</v>
      </c>
      <c r="F49" s="32" t="s">
        <v>153</v>
      </c>
      <c r="G49" s="32" t="s">
        <v>113</v>
      </c>
      <c r="H49" s="32"/>
      <c r="I49" s="204"/>
      <c r="J49" s="204"/>
      <c r="K49" s="204"/>
      <c r="L49" s="204"/>
      <c r="M49" s="204"/>
      <c r="N49" s="468"/>
      <c r="O49" s="273"/>
      <c r="P49" s="204"/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4"/>
      <c r="AF49" s="204"/>
      <c r="AG49" s="204"/>
    </row>
    <row r="50" spans="1:33" s="551" customFormat="1" ht="13.5" customHeight="1" x14ac:dyDescent="0.25">
      <c r="A50" s="32" t="s">
        <v>103</v>
      </c>
      <c r="B50" s="590">
        <f>+EOG!$J$41</f>
        <v>-28926.989999999998</v>
      </c>
      <c r="C50" s="275">
        <f>+B50/$G$4</f>
        <v>-11664.108870967741</v>
      </c>
      <c r="D50" s="362">
        <f>+EOG!A41</f>
        <v>37325</v>
      </c>
      <c r="E50" s="32" t="s">
        <v>85</v>
      </c>
      <c r="F50" s="32" t="s">
        <v>298</v>
      </c>
      <c r="G50" s="32" t="s">
        <v>102</v>
      </c>
      <c r="H50" s="32"/>
      <c r="I50" s="32"/>
      <c r="J50" s="204"/>
      <c r="K50" s="204"/>
      <c r="L50" s="204"/>
      <c r="M50" s="204"/>
      <c r="N50" s="468"/>
      <c r="O50" s="273"/>
      <c r="P50" s="204"/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</row>
    <row r="51" spans="1:33" ht="13.5" customHeight="1" x14ac:dyDescent="0.25">
      <c r="A51" s="32" t="s">
        <v>276</v>
      </c>
      <c r="B51" s="344">
        <f>+SWGasTrans!$D$41</f>
        <v>-11927.84</v>
      </c>
      <c r="C51" s="275">
        <f>+B51/$G$4</f>
        <v>-4809.6129032258068</v>
      </c>
      <c r="D51" s="362">
        <f>+SWGasTrans!A41</f>
        <v>37325</v>
      </c>
      <c r="E51" s="32" t="s">
        <v>85</v>
      </c>
      <c r="F51" s="32" t="s">
        <v>152</v>
      </c>
      <c r="G51" s="32" t="s">
        <v>99</v>
      </c>
      <c r="H51" s="32"/>
      <c r="I51" s="32"/>
      <c r="J51" s="32"/>
      <c r="K51" s="32"/>
      <c r="L51" s="32"/>
      <c r="M51" s="32" t="s">
        <v>242</v>
      </c>
      <c r="N51" s="378">
        <v>23995</v>
      </c>
      <c r="O51" s="70">
        <v>-1023166</v>
      </c>
      <c r="P51" s="32" t="s">
        <v>244</v>
      </c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</row>
    <row r="52" spans="1:33" ht="13.5" customHeight="1" x14ac:dyDescent="0.25">
      <c r="A52" s="204" t="s">
        <v>127</v>
      </c>
      <c r="B52" s="347">
        <f>+Calpine!D41</f>
        <v>9724.8499999999985</v>
      </c>
      <c r="C52" s="348">
        <f>+B52/$G$4</f>
        <v>3921.3104838709673</v>
      </c>
      <c r="D52" s="362">
        <f>+Calpine!A41</f>
        <v>37325</v>
      </c>
      <c r="E52" s="204" t="s">
        <v>85</v>
      </c>
      <c r="F52" s="204" t="s">
        <v>152</v>
      </c>
      <c r="G52" s="204" t="s">
        <v>99</v>
      </c>
      <c r="H52" s="204"/>
      <c r="I52" s="32"/>
      <c r="J52" s="32"/>
      <c r="K52" s="32"/>
      <c r="L52" s="32"/>
      <c r="M52" s="32"/>
      <c r="N52" s="378"/>
      <c r="O52" s="70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3" ht="15" customHeight="1" x14ac:dyDescent="0.25">
      <c r="A53" s="32" t="s">
        <v>97</v>
      </c>
      <c r="B53" s="386">
        <f>SUM(B41:B52)</f>
        <v>-1494337.0000000005</v>
      </c>
      <c r="C53" s="392">
        <f>SUM(C41:C52)</f>
        <v>-602069.446430885</v>
      </c>
      <c r="D53" s="351"/>
      <c r="E53" s="32"/>
      <c r="F53" s="32"/>
      <c r="G53" s="32"/>
      <c r="H53" s="32"/>
      <c r="I53" s="32"/>
      <c r="J53" s="32"/>
      <c r="K53" s="32"/>
      <c r="L53" s="32"/>
      <c r="M53" s="32"/>
      <c r="N53" s="378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ht="15" customHeight="1" x14ac:dyDescent="0.25">
      <c r="A54" s="32"/>
      <c r="B54" s="344"/>
      <c r="C54" s="206"/>
      <c r="D54" s="351"/>
      <c r="E54" s="32"/>
      <c r="F54" s="32"/>
      <c r="G54" s="32"/>
      <c r="H54" s="32"/>
      <c r="I54" s="32"/>
      <c r="J54" s="32"/>
      <c r="K54" s="32"/>
      <c r="L54" s="32"/>
      <c r="M54" s="32"/>
      <c r="N54" s="378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3.8" thickBot="1" x14ac:dyDescent="0.3">
      <c r="A55" s="2" t="s">
        <v>91</v>
      </c>
      <c r="B55" s="352">
        <f>+B53+B38</f>
        <v>1723000.2599999988</v>
      </c>
      <c r="C55" s="353">
        <f>+C53+C38</f>
        <v>694709.04657339002</v>
      </c>
      <c r="D55" s="203"/>
      <c r="E55" s="32"/>
      <c r="F55" s="32"/>
      <c r="G55" s="32"/>
      <c r="H55" s="32"/>
      <c r="I55" s="32"/>
      <c r="J55" s="32"/>
      <c r="K55" s="32"/>
      <c r="L55" s="32"/>
      <c r="M55" s="32"/>
      <c r="N55" s="378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thickTop="1" x14ac:dyDescent="0.25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78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x14ac:dyDescent="0.25">
      <c r="A57" s="2" t="s">
        <v>92</v>
      </c>
      <c r="B57" s="47"/>
      <c r="C57" s="291"/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78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x14ac:dyDescent="0.25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78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5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78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5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78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5">
      <c r="I61" s="32"/>
      <c r="J61" s="32"/>
      <c r="K61" s="32"/>
      <c r="L61" s="32"/>
      <c r="M61" s="32"/>
      <c r="N61" s="378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5">
      <c r="I62" s="32"/>
      <c r="J62" s="32"/>
      <c r="K62" s="32"/>
      <c r="L62" s="32"/>
      <c r="M62" s="32"/>
      <c r="N62" s="378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5">
      <c r="I63" s="32"/>
      <c r="J63" s="32"/>
      <c r="K63" s="32"/>
      <c r="L63" s="32"/>
      <c r="M63" s="32"/>
      <c r="N63" s="378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5">
      <c r="I64" s="32"/>
      <c r="J64" s="32"/>
      <c r="K64" s="32"/>
      <c r="L64" s="32"/>
      <c r="M64" s="32"/>
      <c r="N64" s="378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5">
      <c r="I65" s="32"/>
      <c r="J65" s="32"/>
      <c r="K65" s="32"/>
      <c r="L65" s="32"/>
      <c r="M65" s="32"/>
      <c r="N65" s="378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5">
      <c r="I66" s="32"/>
      <c r="J66" s="32"/>
      <c r="K66" s="32"/>
      <c r="L66" s="32"/>
      <c r="M66" s="32"/>
      <c r="N66" s="378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5">
      <c r="I67" s="32"/>
      <c r="J67" s="32"/>
      <c r="K67" s="32"/>
      <c r="L67" s="32"/>
      <c r="M67" s="32"/>
      <c r="N67" s="378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5">
      <c r="I68" s="32"/>
      <c r="J68" s="32"/>
      <c r="K68" s="32"/>
      <c r="L68" s="32"/>
      <c r="M68" s="32"/>
      <c r="N68" s="378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5">
      <c r="I69" s="32"/>
      <c r="J69" s="32"/>
      <c r="K69" s="32"/>
      <c r="L69" s="32"/>
      <c r="M69" s="32"/>
      <c r="N69" s="378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5">
      <c r="A70" s="2" t="s">
        <v>259</v>
      </c>
      <c r="B70" s="47"/>
      <c r="C70" s="69"/>
      <c r="D70" s="203"/>
      <c r="E70" s="32"/>
      <c r="F70" s="32"/>
      <c r="G70" s="32"/>
      <c r="H70" s="32"/>
      <c r="I70" s="32"/>
      <c r="J70" s="32"/>
      <c r="K70" s="32"/>
      <c r="L70" s="32"/>
      <c r="M70" s="32"/>
      <c r="N70" s="378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5">
      <c r="A71" s="32" t="s">
        <v>257</v>
      </c>
      <c r="B71" s="47"/>
      <c r="C71" s="69"/>
      <c r="D71" s="203"/>
      <c r="E71" s="32"/>
      <c r="F71" s="32"/>
      <c r="G71" s="32"/>
      <c r="H71" s="32"/>
      <c r="I71" s="32"/>
      <c r="J71" s="32"/>
      <c r="K71" s="32"/>
      <c r="L71" s="32"/>
      <c r="M71" s="32"/>
      <c r="N71" s="378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5">
      <c r="A72" s="32" t="s">
        <v>258</v>
      </c>
      <c r="B72" s="47"/>
      <c r="C72" s="69"/>
      <c r="D72" s="203"/>
      <c r="E72" s="32"/>
      <c r="F72" s="32"/>
      <c r="G72" s="32"/>
      <c r="H72" s="32"/>
      <c r="I72" s="32"/>
      <c r="J72" s="32"/>
      <c r="K72" s="32"/>
      <c r="L72" s="32"/>
      <c r="M72" s="32"/>
      <c r="N72" s="378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5">
      <c r="A73" s="32"/>
      <c r="B73" s="354"/>
      <c r="C73" s="355"/>
      <c r="D73" s="203"/>
      <c r="E73" s="32"/>
      <c r="F73" s="32"/>
      <c r="G73" s="32"/>
      <c r="H73" s="32"/>
      <c r="I73" s="32"/>
      <c r="J73" s="32"/>
      <c r="K73" s="32"/>
      <c r="L73" s="32"/>
      <c r="M73" s="32"/>
      <c r="N73" s="378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5">
      <c r="A74" s="2" t="s">
        <v>260</v>
      </c>
      <c r="B74" s="75"/>
      <c r="C74" s="69"/>
      <c r="D74" s="203"/>
      <c r="E74" s="32"/>
      <c r="F74" s="32"/>
      <c r="G74" s="32"/>
      <c r="H74" s="32"/>
      <c r="I74" s="32"/>
      <c r="J74" s="32"/>
      <c r="K74" s="32"/>
      <c r="L74" s="32"/>
      <c r="M74" s="32"/>
      <c r="N74" s="378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5">
      <c r="A75" s="32" t="s">
        <v>261</v>
      </c>
      <c r="B75" s="612">
        <v>30688.84</v>
      </c>
      <c r="C75" s="69"/>
      <c r="D75" s="203"/>
      <c r="E75" s="32"/>
      <c r="F75" s="32"/>
      <c r="G75" s="32"/>
      <c r="H75" s="32"/>
      <c r="I75" s="32"/>
      <c r="J75" s="32"/>
      <c r="K75" s="32"/>
      <c r="L75" s="32"/>
      <c r="M75" s="32"/>
      <c r="N75" s="378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5">
      <c r="A76" s="32" t="s">
        <v>263</v>
      </c>
      <c r="B76" s="612">
        <v>-17790.169999999998</v>
      </c>
      <c r="C76" s="69"/>
      <c r="D76" s="203"/>
      <c r="E76" s="32"/>
      <c r="F76" s="32"/>
      <c r="G76" s="32"/>
      <c r="H76" s="32"/>
      <c r="I76" s="32"/>
      <c r="J76" s="32"/>
      <c r="K76" s="32"/>
      <c r="L76" s="32"/>
      <c r="M76" s="32"/>
      <c r="N76" s="378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5">
      <c r="A77" s="32" t="s">
        <v>264</v>
      </c>
      <c r="B77" s="574">
        <v>0</v>
      </c>
      <c r="C77" s="69"/>
      <c r="D77" s="356"/>
      <c r="E77" s="32"/>
      <c r="F77" s="32"/>
      <c r="G77" s="32"/>
      <c r="H77" s="32"/>
      <c r="I77" s="32"/>
      <c r="J77" s="32"/>
      <c r="K77" s="32"/>
      <c r="L77" s="32"/>
      <c r="M77" s="32"/>
      <c r="N77" s="378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5">
      <c r="A78" s="32" t="s">
        <v>265</v>
      </c>
      <c r="B78" s="612">
        <v>280.55</v>
      </c>
      <c r="C78" s="291"/>
      <c r="D78" s="358"/>
      <c r="E78" s="32"/>
      <c r="F78" s="32"/>
      <c r="G78" s="32"/>
      <c r="H78" s="32"/>
      <c r="I78" s="32"/>
      <c r="J78" s="32"/>
      <c r="K78" s="32"/>
      <c r="L78" s="32"/>
      <c r="M78" s="32"/>
      <c r="N78" s="378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5">
      <c r="A79" s="32" t="s">
        <v>266</v>
      </c>
      <c r="B79" s="612">
        <v>8002.75</v>
      </c>
      <c r="C79" s="291"/>
      <c r="D79" s="359"/>
      <c r="E79" s="32"/>
      <c r="F79" s="32"/>
      <c r="G79" s="32"/>
      <c r="H79" s="32"/>
      <c r="I79" s="32"/>
      <c r="J79" s="32"/>
      <c r="K79" s="32"/>
      <c r="L79" s="32"/>
      <c r="M79" s="32"/>
      <c r="N79" s="378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5">
      <c r="A80" s="32" t="s">
        <v>267</v>
      </c>
      <c r="B80" s="612">
        <v>9363.2199999999993</v>
      </c>
      <c r="C80" s="489"/>
      <c r="D80" s="203"/>
      <c r="E80" s="32"/>
      <c r="F80" s="32"/>
      <c r="G80" s="32"/>
      <c r="H80" s="32"/>
      <c r="I80" s="32"/>
      <c r="J80" s="32"/>
      <c r="K80" s="32"/>
      <c r="L80" s="32"/>
      <c r="M80" s="32"/>
      <c r="N80" s="378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1:33" x14ac:dyDescent="0.25">
      <c r="A81" s="32" t="s">
        <v>269</v>
      </c>
      <c r="B81" s="618">
        <v>-2393.5300000000002</v>
      </c>
      <c r="C81" s="489"/>
      <c r="D81" s="203"/>
      <c r="E81" s="32"/>
      <c r="F81" s="32"/>
      <c r="G81" s="32"/>
      <c r="H81" s="32"/>
      <c r="I81" s="32"/>
      <c r="J81" s="32"/>
      <c r="K81" s="32"/>
      <c r="L81" s="32"/>
      <c r="M81" s="32"/>
      <c r="N81" s="378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1:33" x14ac:dyDescent="0.25">
      <c r="A82" s="32" t="s">
        <v>271</v>
      </c>
      <c r="B82" s="618">
        <v>-23976.37</v>
      </c>
      <c r="C82" s="489"/>
      <c r="D82" s="203"/>
      <c r="E82" s="32"/>
      <c r="F82" s="32"/>
      <c r="G82" s="32"/>
      <c r="H82" s="32"/>
      <c r="I82" s="32"/>
      <c r="J82" s="32"/>
      <c r="K82" s="32"/>
      <c r="L82" s="32"/>
      <c r="M82" s="32"/>
      <c r="N82" s="378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:33" x14ac:dyDescent="0.25">
      <c r="A83" s="32" t="s">
        <v>272</v>
      </c>
      <c r="B83" s="618">
        <v>4731.8599999999997</v>
      </c>
      <c r="C83" s="553"/>
      <c r="D83" s="356"/>
      <c r="E83" s="32"/>
      <c r="F83" s="32"/>
      <c r="G83" s="32"/>
      <c r="H83" s="32"/>
      <c r="I83" s="32"/>
      <c r="J83" s="32"/>
      <c r="K83" s="32"/>
      <c r="L83" s="32"/>
      <c r="M83" s="32"/>
      <c r="N83" s="378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1:33" x14ac:dyDescent="0.25">
      <c r="A84" s="32" t="s">
        <v>273</v>
      </c>
      <c r="B84" s="621">
        <f>775*2.11</f>
        <v>1635.25</v>
      </c>
      <c r="C84" s="553"/>
      <c r="D84" s="356"/>
      <c r="E84" s="32"/>
      <c r="F84" s="32"/>
      <c r="G84" s="32"/>
      <c r="H84" s="32"/>
      <c r="I84" s="32"/>
      <c r="J84" s="32"/>
      <c r="K84" s="32"/>
      <c r="L84" s="32"/>
      <c r="M84" s="32"/>
      <c r="N84" s="378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1:33" x14ac:dyDescent="0.25">
      <c r="A85" s="32" t="s">
        <v>270</v>
      </c>
      <c r="B85" s="15">
        <f>44144.84-58339.66</f>
        <v>-14194.820000000007</v>
      </c>
      <c r="C85" s="553">
        <v>26357</v>
      </c>
      <c r="D85" s="203"/>
      <c r="E85" s="32"/>
      <c r="F85" s="32"/>
      <c r="G85" s="32"/>
      <c r="H85" s="32"/>
      <c r="I85" s="32"/>
      <c r="J85" s="32"/>
      <c r="K85" s="32"/>
      <c r="L85" s="32"/>
      <c r="M85" s="32"/>
      <c r="N85" s="378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:33" x14ac:dyDescent="0.25">
      <c r="A86" s="32" t="s">
        <v>270</v>
      </c>
      <c r="B86" s="15">
        <v>-51695.87</v>
      </c>
      <c r="C86" s="553">
        <v>20379</v>
      </c>
      <c r="D86" s="203"/>
      <c r="E86" s="32"/>
      <c r="F86" s="32"/>
      <c r="G86" s="32"/>
      <c r="H86" s="32"/>
      <c r="I86" s="32"/>
      <c r="J86" s="32"/>
      <c r="K86" s="32"/>
      <c r="L86" s="32"/>
      <c r="M86" s="32"/>
      <c r="N86" s="378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1:33" x14ac:dyDescent="0.25">
      <c r="A87" s="32" t="s">
        <v>270</v>
      </c>
      <c r="B87" s="15">
        <v>61340.160000000003</v>
      </c>
      <c r="C87" s="553">
        <v>21544</v>
      </c>
      <c r="D87" s="203"/>
      <c r="E87" s="32"/>
      <c r="F87" s="32"/>
      <c r="G87" s="32"/>
      <c r="H87" s="32"/>
      <c r="I87" s="32"/>
      <c r="J87" s="32"/>
      <c r="K87" s="32"/>
      <c r="L87" s="32"/>
      <c r="M87" s="32"/>
      <c r="N87" s="378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1:33" x14ac:dyDescent="0.25">
      <c r="A88" s="32" t="s">
        <v>291</v>
      </c>
      <c r="B88" s="563">
        <v>-1702.75</v>
      </c>
      <c r="C88" s="553"/>
      <c r="D88" s="203"/>
      <c r="E88" s="32"/>
      <c r="F88" s="32"/>
      <c r="G88" s="32"/>
      <c r="H88" s="32"/>
      <c r="I88" s="32"/>
      <c r="J88" s="32"/>
      <c r="K88" s="32"/>
      <c r="L88" s="32"/>
      <c r="M88" s="32"/>
      <c r="N88" s="378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1:33" x14ac:dyDescent="0.25">
      <c r="A89" s="32" t="s">
        <v>277</v>
      </c>
      <c r="B89" s="618">
        <v>-3605.48</v>
      </c>
      <c r="C89" s="553"/>
      <c r="D89" s="203"/>
      <c r="E89" s="32"/>
      <c r="F89" s="32"/>
      <c r="G89" s="32"/>
      <c r="H89" s="32"/>
      <c r="I89" s="32"/>
      <c r="J89" s="32"/>
      <c r="K89" s="32"/>
      <c r="L89" s="32"/>
      <c r="M89" s="32"/>
      <c r="N89" s="378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1:33" x14ac:dyDescent="0.25">
      <c r="A90" s="32" t="s">
        <v>262</v>
      </c>
      <c r="B90" s="513">
        <v>-35893</v>
      </c>
      <c r="C90" s="489"/>
      <c r="D90" s="203"/>
      <c r="E90" s="32"/>
      <c r="F90" s="32"/>
      <c r="G90" s="32"/>
      <c r="H90" s="32"/>
      <c r="I90" s="32"/>
      <c r="J90" s="32"/>
      <c r="K90" s="32"/>
      <c r="L90" s="32"/>
      <c r="M90" s="32"/>
      <c r="N90" s="378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1:33" x14ac:dyDescent="0.25">
      <c r="A91" s="32" t="s">
        <v>268</v>
      </c>
      <c r="B91" s="15">
        <v>3338.45</v>
      </c>
      <c r="C91" s="489"/>
      <c r="D91" s="203"/>
      <c r="E91" s="32"/>
      <c r="F91" s="32"/>
      <c r="G91" s="32"/>
      <c r="H91" s="32"/>
      <c r="I91" s="32"/>
      <c r="J91" s="32"/>
      <c r="K91" s="32"/>
      <c r="L91" s="32"/>
      <c r="M91" s="32"/>
      <c r="N91" s="378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1:33" x14ac:dyDescent="0.25">
      <c r="A92" s="32" t="s">
        <v>292</v>
      </c>
      <c r="B92" s="512">
        <v>5886.79</v>
      </c>
      <c r="C92" s="489"/>
      <c r="D92" s="203"/>
      <c r="E92" s="32"/>
      <c r="F92" s="32"/>
      <c r="G92" s="32"/>
      <c r="H92" s="32"/>
      <c r="I92" s="32"/>
      <c r="J92" s="32"/>
      <c r="K92" s="32"/>
      <c r="L92" s="32"/>
      <c r="M92" s="32"/>
      <c r="N92" s="378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1:33" x14ac:dyDescent="0.25">
      <c r="A93" s="32" t="s">
        <v>293</v>
      </c>
      <c r="B93" s="512">
        <v>-725.46</v>
      </c>
      <c r="C93" s="489"/>
      <c r="D93" s="203"/>
      <c r="E93" s="32"/>
      <c r="F93" s="32"/>
      <c r="G93" s="32"/>
      <c r="H93" s="32"/>
      <c r="I93" s="32"/>
      <c r="J93" s="32"/>
      <c r="K93" s="32"/>
      <c r="L93" s="32"/>
      <c r="M93" s="32"/>
      <c r="N93" s="378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1:33" x14ac:dyDescent="0.25">
      <c r="A94" s="32" t="s">
        <v>325</v>
      </c>
      <c r="B94" s="611">
        <v>727.16</v>
      </c>
      <c r="C94" s="69"/>
      <c r="D94" s="203"/>
      <c r="E94" s="32"/>
      <c r="F94" s="32"/>
      <c r="G94" s="32"/>
      <c r="H94" s="32"/>
      <c r="I94" s="32"/>
      <c r="J94" s="32"/>
      <c r="K94" s="32"/>
      <c r="L94" s="32"/>
      <c r="M94" s="32"/>
      <c r="N94" s="378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1:33" x14ac:dyDescent="0.25">
      <c r="A95" s="32"/>
      <c r="B95" s="16">
        <f>SUM(B75:B94)</f>
        <v>-25982.420000000006</v>
      </c>
      <c r="C95" s="69"/>
      <c r="D95" s="203"/>
      <c r="E95" s="32"/>
      <c r="F95" s="32"/>
      <c r="G95" s="32"/>
      <c r="H95" s="32"/>
      <c r="I95" s="32"/>
      <c r="J95" s="32"/>
      <c r="K95" s="32"/>
      <c r="L95" s="32"/>
      <c r="M95" s="32"/>
      <c r="N95" s="378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1:33" x14ac:dyDescent="0.25">
      <c r="A96" s="32"/>
      <c r="B96" s="47"/>
      <c r="C96" s="69"/>
      <c r="D96" s="203"/>
      <c r="E96" s="32"/>
      <c r="F96" s="32"/>
      <c r="G96" s="32"/>
      <c r="H96" s="32"/>
      <c r="I96" s="32"/>
      <c r="J96" s="32"/>
      <c r="K96" s="32"/>
      <c r="L96" s="32"/>
      <c r="M96" s="32"/>
      <c r="N96" s="378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5">
      <c r="A97" s="32"/>
      <c r="B97" s="47"/>
      <c r="C97" s="69"/>
      <c r="D97" s="203"/>
      <c r="E97" s="32"/>
      <c r="F97" s="32"/>
      <c r="G97" s="32"/>
      <c r="H97" s="32"/>
      <c r="I97" s="32"/>
      <c r="J97" s="32"/>
      <c r="K97" s="32"/>
      <c r="L97" s="32"/>
      <c r="M97" s="32"/>
      <c r="N97" s="378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5">
      <c r="A98" s="32"/>
      <c r="B98" s="47"/>
      <c r="C98" s="69"/>
      <c r="D98" s="203"/>
      <c r="E98" s="32"/>
      <c r="F98" s="32"/>
      <c r="G98" s="32"/>
      <c r="H98" s="32"/>
      <c r="I98" s="32"/>
      <c r="J98" s="32"/>
      <c r="K98" s="32"/>
      <c r="L98" s="32"/>
      <c r="M98" s="32"/>
      <c r="N98" s="378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5">
      <c r="A99" s="32"/>
      <c r="B99" s="47"/>
      <c r="C99" s="69"/>
      <c r="D99" s="203"/>
      <c r="E99" s="32"/>
      <c r="F99" s="32"/>
      <c r="G99" s="32"/>
      <c r="H99" s="32"/>
      <c r="I99" s="32"/>
      <c r="J99" s="32"/>
      <c r="K99" s="32"/>
      <c r="L99" s="32"/>
      <c r="M99" s="32"/>
      <c r="N99" s="378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5">
      <c r="A100" s="32"/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2"/>
      <c r="N100" s="378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5">
      <c r="A101" s="32"/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2"/>
      <c r="N101" s="378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5">
      <c r="A102" s="32"/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78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5">
      <c r="A103" s="32"/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78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5">
      <c r="A104" s="32"/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78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5">
      <c r="A105" s="32"/>
      <c r="B105" s="47"/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78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5">
      <c r="A106" s="32"/>
      <c r="B106" s="47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78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5">
      <c r="A107" s="32"/>
      <c r="B107" s="47"/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78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5">
      <c r="A108" s="32"/>
      <c r="B108" s="47"/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78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5">
      <c r="A109" s="32"/>
      <c r="B109" s="47"/>
      <c r="C109" s="69"/>
      <c r="D109" s="203"/>
      <c r="E109" s="32"/>
      <c r="F109" s="32"/>
      <c r="G109" s="32"/>
      <c r="H109" s="32"/>
      <c r="I109" s="32"/>
      <c r="J109" s="32"/>
      <c r="K109" s="32"/>
      <c r="L109" s="32"/>
      <c r="M109" s="32"/>
      <c r="N109" s="378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5">
      <c r="A110" s="32"/>
      <c r="B110" s="47"/>
      <c r="C110" s="69"/>
      <c r="D110" s="203"/>
      <c r="E110" s="32"/>
      <c r="F110" s="32"/>
      <c r="G110" s="32"/>
      <c r="H110" s="32"/>
      <c r="I110" s="32"/>
      <c r="J110" s="32"/>
      <c r="K110" s="32"/>
      <c r="L110" s="32"/>
      <c r="M110" s="32"/>
      <c r="N110" s="378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5">
      <c r="A111" s="32"/>
      <c r="B111" s="47"/>
      <c r="C111" s="69"/>
      <c r="D111" s="203"/>
      <c r="E111" s="32"/>
      <c r="F111" s="32"/>
      <c r="G111" s="32"/>
      <c r="H111" s="32"/>
      <c r="I111" s="32"/>
      <c r="J111" s="32"/>
      <c r="K111" s="32"/>
      <c r="L111" s="32"/>
      <c r="M111" s="32"/>
      <c r="N111" s="378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5">
      <c r="A112" s="32"/>
      <c r="B112" s="47"/>
      <c r="C112" s="69"/>
      <c r="D112" s="203"/>
      <c r="E112" s="32"/>
      <c r="F112" s="32"/>
      <c r="G112" s="32"/>
      <c r="H112" s="32"/>
      <c r="I112" s="32"/>
      <c r="J112" s="32"/>
      <c r="K112" s="32"/>
      <c r="L112" s="32"/>
      <c r="M112" s="32"/>
      <c r="N112" s="378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5">
      <c r="A113" s="32"/>
      <c r="B113" s="47"/>
      <c r="C113" s="69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78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5">
      <c r="A114" s="32"/>
      <c r="B114" s="47"/>
      <c r="C114" s="69"/>
      <c r="D114" s="203"/>
      <c r="E114" s="32"/>
      <c r="F114" s="32"/>
      <c r="G114" s="32"/>
      <c r="H114" s="32"/>
      <c r="I114" s="32"/>
      <c r="J114" s="32"/>
      <c r="K114" s="32"/>
      <c r="L114" s="32"/>
      <c r="M114" s="32"/>
      <c r="N114" s="378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5">
      <c r="A115" s="32"/>
      <c r="B115" s="47"/>
      <c r="C115" s="69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78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5">
      <c r="A116" s="32"/>
      <c r="B116" s="47"/>
      <c r="C116" s="69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78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5">
      <c r="A117" s="32"/>
      <c r="B117" s="47"/>
      <c r="C117" s="69"/>
      <c r="D117" s="203"/>
      <c r="E117" s="32"/>
      <c r="F117" s="32"/>
      <c r="G117" s="32"/>
      <c r="H117" s="32"/>
      <c r="I117" s="32"/>
      <c r="J117" s="32"/>
      <c r="K117" s="32"/>
      <c r="L117" s="32"/>
      <c r="M117" s="32"/>
      <c r="N117" s="378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5">
      <c r="A118" s="32"/>
      <c r="B118" s="47"/>
      <c r="C118" s="69"/>
      <c r="D118" s="203"/>
      <c r="E118" s="32"/>
      <c r="F118" s="32"/>
      <c r="G118" s="32"/>
      <c r="H118" s="32"/>
      <c r="I118" s="32"/>
      <c r="J118" s="32"/>
      <c r="K118" s="32"/>
      <c r="L118" s="32"/>
      <c r="M118" s="32"/>
      <c r="N118" s="378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5">
      <c r="A119" s="32"/>
      <c r="B119" s="47"/>
      <c r="C119" s="69"/>
      <c r="D119" s="203"/>
      <c r="E119" s="32"/>
      <c r="F119" s="32"/>
      <c r="G119" s="32"/>
      <c r="H119" s="32"/>
      <c r="I119" s="32"/>
      <c r="J119" s="32"/>
      <c r="K119" s="32"/>
      <c r="L119" s="32"/>
      <c r="M119" s="32"/>
      <c r="N119" s="378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5">
      <c r="A120" s="32"/>
      <c r="B120" s="47"/>
      <c r="C120" s="69"/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78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5">
      <c r="A121" s="32"/>
      <c r="B121" s="47"/>
      <c r="C121" s="69"/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78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5">
      <c r="A122" s="32"/>
      <c r="B122" s="47"/>
      <c r="C122" s="69"/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78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5">
      <c r="A123" s="32"/>
      <c r="B123" s="47"/>
      <c r="C123" s="69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78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5">
      <c r="A124" s="32"/>
      <c r="B124" s="47"/>
      <c r="C124" s="69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78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5">
      <c r="A125" s="32"/>
      <c r="B125" s="47"/>
      <c r="C125" s="69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78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5">
      <c r="A126" s="32"/>
      <c r="B126" s="47"/>
      <c r="C126" s="69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78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5">
      <c r="A127" s="32"/>
      <c r="B127" s="47"/>
      <c r="C127" s="69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78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5">
      <c r="A128" s="32"/>
      <c r="B128" s="47"/>
      <c r="C128" s="69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78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5">
      <c r="A129" s="32"/>
      <c r="B129" s="47"/>
      <c r="C129" s="69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78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5">
      <c r="A130" s="32"/>
      <c r="B130" s="47"/>
      <c r="C130" s="69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78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5">
      <c r="A131" s="32"/>
      <c r="B131" s="47"/>
      <c r="C131" s="69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78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5">
      <c r="A132" s="32"/>
      <c r="B132" s="47"/>
      <c r="C132" s="69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78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5">
      <c r="A133" s="32"/>
      <c r="B133" s="47"/>
      <c r="C133" s="69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78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5">
      <c r="A134" s="32"/>
      <c r="B134" s="47"/>
      <c r="C134" s="69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78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5">
      <c r="A135" s="32"/>
      <c r="B135" s="47"/>
      <c r="C135" s="69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78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5">
      <c r="A136" s="32"/>
      <c r="B136" s="47"/>
      <c r="C136" s="69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78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5">
      <c r="A137" s="32"/>
      <c r="B137" s="47"/>
      <c r="C137" s="69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78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5">
      <c r="A138" s="32"/>
      <c r="B138" s="47"/>
      <c r="C138" s="69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78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5">
      <c r="A139" s="32"/>
      <c r="B139" s="47"/>
      <c r="C139" s="69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78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5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78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5">
      <c r="A141" s="32"/>
      <c r="B141" s="47"/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78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5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78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5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78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5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78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5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78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5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78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5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78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5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78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5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78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5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78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5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78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5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78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5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78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5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78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5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78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5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78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5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78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5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78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5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78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5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78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5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78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5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78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5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78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5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78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5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78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5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78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5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78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5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78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5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78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5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78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5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78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5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78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5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78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5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78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5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78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5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78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5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78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5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78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5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78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5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78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5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78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5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78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5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78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5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78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5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78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5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78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5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78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5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78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5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78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5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78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5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78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5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78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5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78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5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78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5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78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5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78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5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78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5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78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5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78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5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78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5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78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5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78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5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78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5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78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5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78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5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78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5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78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5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78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5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78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5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78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5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78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5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78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5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78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5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78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5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78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5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78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5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78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5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78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5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78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5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78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5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78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5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78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5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78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5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78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5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78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5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78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5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78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5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78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5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78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5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78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5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78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5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78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5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78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5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78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5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78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5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78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5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78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5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78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5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78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5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78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2" x14ac:dyDescent="0.25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78"/>
      <c r="N241" s="70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5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78"/>
      <c r="N242" s="70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5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78"/>
      <c r="N243" s="70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5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78"/>
      <c r="N244" s="70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5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78"/>
      <c r="N245" s="70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5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78"/>
      <c r="N246" s="70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5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78"/>
      <c r="N247" s="70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5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78"/>
      <c r="N248" s="70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5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78"/>
      <c r="N249" s="70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5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78"/>
      <c r="N250" s="70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5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78"/>
      <c r="N251" s="70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5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78"/>
      <c r="N252" s="70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5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78"/>
      <c r="N253" s="70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5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78"/>
      <c r="N254" s="70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5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78"/>
      <c r="N255" s="70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5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78"/>
      <c r="N256" s="70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5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78"/>
      <c r="N257" s="70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5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78"/>
      <c r="N258" s="70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5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78"/>
      <c r="N259" s="70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5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78"/>
      <c r="N260" s="70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5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78"/>
      <c r="N261" s="70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5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78"/>
      <c r="N262" s="70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5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78"/>
      <c r="N263" s="70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5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78"/>
      <c r="N264" s="70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5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78"/>
      <c r="N265" s="70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5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78"/>
      <c r="N266" s="70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5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78"/>
      <c r="N267" s="70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5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78"/>
      <c r="N268" s="70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5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78"/>
      <c r="N269" s="70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5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78"/>
      <c r="N270" s="70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5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78"/>
      <c r="N271" s="70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5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78"/>
      <c r="N272" s="70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5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78"/>
      <c r="N273" s="70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5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78"/>
      <c r="N274" s="70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5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78"/>
      <c r="N275" s="70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5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78"/>
      <c r="N276" s="70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5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78"/>
      <c r="N277" s="70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5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78"/>
      <c r="N278" s="70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5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78"/>
      <c r="N279" s="70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5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78"/>
      <c r="N280" s="70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5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78"/>
      <c r="N281" s="70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5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78"/>
      <c r="N282" s="70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5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78"/>
      <c r="N283" s="70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5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78"/>
      <c r="N284" s="70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5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78"/>
      <c r="N285" s="70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5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78"/>
      <c r="N286" s="70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5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78"/>
      <c r="N287" s="70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5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78"/>
      <c r="N288" s="70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5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78"/>
      <c r="N289" s="70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5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78"/>
      <c r="N290" s="70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5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78"/>
      <c r="N291" s="70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5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78"/>
      <c r="N292" s="70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5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78"/>
      <c r="N293" s="70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5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78"/>
      <c r="N294" s="70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5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78"/>
      <c r="N295" s="70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5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78"/>
      <c r="N296" s="70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5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78"/>
      <c r="N297" s="70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5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78"/>
      <c r="N298" s="70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5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78"/>
      <c r="N299" s="70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5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78"/>
      <c r="N300" s="70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5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78"/>
      <c r="N301" s="70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5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78"/>
      <c r="N302" s="70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5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78"/>
      <c r="N303" s="70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5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78"/>
      <c r="N304" s="70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5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78"/>
      <c r="N305" s="70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5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78"/>
      <c r="N306" s="70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5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78"/>
      <c r="N307" s="70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5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78"/>
      <c r="N308" s="70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5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78"/>
      <c r="N309" s="70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5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78"/>
      <c r="N310" s="70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5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78"/>
      <c r="N311" s="70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5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78"/>
      <c r="N312" s="70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5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78"/>
      <c r="N313" s="70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5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78"/>
      <c r="N314" s="70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5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78"/>
      <c r="N315" s="70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5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78"/>
      <c r="N316" s="70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5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78"/>
      <c r="N317" s="70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5">
      <c r="M318" s="544"/>
      <c r="N318" s="545"/>
      <c r="O318" s="285"/>
    </row>
    <row r="319" spans="1:32" x14ac:dyDescent="0.25">
      <c r="M319" s="544"/>
      <c r="N319" s="545"/>
      <c r="O319" s="285"/>
    </row>
    <row r="320" spans="1:32" x14ac:dyDescent="0.25">
      <c r="M320" s="544"/>
      <c r="N320" s="545"/>
      <c r="O320" s="285"/>
    </row>
    <row r="321" spans="13:15" x14ac:dyDescent="0.25">
      <c r="M321" s="544"/>
      <c r="N321" s="545"/>
      <c r="O321" s="285"/>
    </row>
    <row r="322" spans="13:15" x14ac:dyDescent="0.25">
      <c r="M322" s="544"/>
      <c r="N322" s="545"/>
      <c r="O322" s="285"/>
    </row>
    <row r="323" spans="13:15" x14ac:dyDescent="0.25">
      <c r="M323" s="544"/>
      <c r="N323" s="545"/>
      <c r="O323" s="285"/>
    </row>
    <row r="324" spans="13:15" x14ac:dyDescent="0.25">
      <c r="M324" s="544"/>
      <c r="N324" s="545"/>
      <c r="O324" s="285"/>
    </row>
    <row r="325" spans="13:15" x14ac:dyDescent="0.25">
      <c r="M325" s="544"/>
      <c r="N325" s="545"/>
      <c r="O325" s="285"/>
    </row>
    <row r="326" spans="13:15" x14ac:dyDescent="0.25">
      <c r="M326" s="544"/>
      <c r="N326" s="545"/>
      <c r="O326" s="285"/>
    </row>
    <row r="327" spans="13:15" x14ac:dyDescent="0.25">
      <c r="M327" s="544"/>
      <c r="N327" s="545"/>
      <c r="O327" s="285"/>
    </row>
    <row r="328" spans="13:15" x14ac:dyDescent="0.25">
      <c r="M328" s="544"/>
      <c r="N328" s="545"/>
      <c r="O328" s="285"/>
    </row>
    <row r="329" spans="13:15" x14ac:dyDescent="0.25">
      <c r="M329" s="544"/>
      <c r="N329" s="545"/>
      <c r="O329" s="285"/>
    </row>
    <row r="330" spans="13:15" x14ac:dyDescent="0.25">
      <c r="M330" s="544"/>
      <c r="N330" s="545"/>
      <c r="O330" s="285"/>
    </row>
    <row r="331" spans="13:15" x14ac:dyDescent="0.25">
      <c r="M331" s="544"/>
      <c r="N331" s="545"/>
      <c r="O331" s="285"/>
    </row>
    <row r="332" spans="13:15" x14ac:dyDescent="0.25">
      <c r="M332" s="544"/>
      <c r="N332" s="545"/>
      <c r="O332" s="285"/>
    </row>
    <row r="333" spans="13:15" x14ac:dyDescent="0.25">
      <c r="M333" s="544"/>
      <c r="N333" s="545"/>
      <c r="O333" s="285"/>
    </row>
    <row r="334" spans="13:15" x14ac:dyDescent="0.25">
      <c r="M334" s="544"/>
      <c r="N334" s="545"/>
      <c r="O334" s="285"/>
    </row>
    <row r="335" spans="13:15" x14ac:dyDescent="0.25">
      <c r="M335" s="544"/>
      <c r="N335" s="545"/>
      <c r="O335" s="285"/>
    </row>
    <row r="336" spans="13:15" x14ac:dyDescent="0.25">
      <c r="M336" s="544"/>
      <c r="N336" s="545"/>
      <c r="O336" s="285"/>
    </row>
    <row r="337" spans="13:15" x14ac:dyDescent="0.25">
      <c r="M337" s="544"/>
      <c r="N337" s="545"/>
      <c r="O337" s="285"/>
    </row>
    <row r="338" spans="13:15" x14ac:dyDescent="0.25">
      <c r="M338" s="544"/>
      <c r="N338" s="545"/>
      <c r="O338" s="285"/>
    </row>
    <row r="339" spans="13:15" x14ac:dyDescent="0.25">
      <c r="M339" s="544"/>
      <c r="N339" s="545"/>
      <c r="O339" s="285"/>
    </row>
    <row r="340" spans="13:15" x14ac:dyDescent="0.25">
      <c r="M340" s="544"/>
      <c r="N340" s="545"/>
      <c r="O340" s="285"/>
    </row>
    <row r="341" spans="13:15" x14ac:dyDescent="0.25">
      <c r="M341" s="544"/>
      <c r="N341" s="545"/>
      <c r="O341" s="285"/>
    </row>
    <row r="342" spans="13:15" x14ac:dyDescent="0.25">
      <c r="M342" s="544"/>
      <c r="N342" s="545"/>
      <c r="O342" s="285"/>
    </row>
    <row r="343" spans="13:15" x14ac:dyDescent="0.25">
      <c r="M343" s="544"/>
      <c r="N343" s="545"/>
      <c r="O343" s="285"/>
    </row>
    <row r="344" spans="13:15" x14ac:dyDescent="0.25">
      <c r="M344" s="544"/>
      <c r="N344" s="545"/>
      <c r="O344" s="285"/>
    </row>
    <row r="345" spans="13:15" x14ac:dyDescent="0.25">
      <c r="M345" s="544"/>
      <c r="N345" s="545"/>
      <c r="O345" s="285"/>
    </row>
    <row r="346" spans="13:15" x14ac:dyDescent="0.25">
      <c r="M346" s="544"/>
      <c r="N346" s="545"/>
      <c r="O346" s="285"/>
    </row>
    <row r="347" spans="13:15" x14ac:dyDescent="0.25">
      <c r="M347" s="544"/>
      <c r="N347" s="545"/>
      <c r="O347" s="285"/>
    </row>
    <row r="348" spans="13:15" x14ac:dyDescent="0.25">
      <c r="M348" s="544"/>
      <c r="N348" s="545"/>
      <c r="O348" s="285"/>
    </row>
    <row r="349" spans="13:15" x14ac:dyDescent="0.25">
      <c r="M349" s="544"/>
      <c r="N349" s="545"/>
      <c r="O349" s="285"/>
    </row>
    <row r="350" spans="13:15" x14ac:dyDescent="0.25">
      <c r="M350" s="544"/>
      <c r="N350" s="545"/>
      <c r="O350" s="285"/>
    </row>
    <row r="351" spans="13:15" x14ac:dyDescent="0.25">
      <c r="M351" s="544"/>
      <c r="N351" s="545"/>
      <c r="O351" s="285"/>
    </row>
    <row r="352" spans="13:15" x14ac:dyDescent="0.25">
      <c r="M352" s="544"/>
      <c r="N352" s="545"/>
      <c r="O352" s="285"/>
    </row>
    <row r="353" spans="13:15" x14ac:dyDescent="0.25">
      <c r="M353" s="544"/>
      <c r="N353" s="545"/>
      <c r="O353" s="285"/>
    </row>
    <row r="354" spans="13:15" x14ac:dyDescent="0.25">
      <c r="M354" s="544"/>
      <c r="N354" s="545"/>
      <c r="O354" s="285"/>
    </row>
    <row r="355" spans="13:15" x14ac:dyDescent="0.25">
      <c r="M355" s="544"/>
      <c r="N355" s="545"/>
      <c r="O355" s="285"/>
    </row>
    <row r="356" spans="13:15" x14ac:dyDescent="0.25">
      <c r="M356" s="544"/>
      <c r="N356" s="545"/>
      <c r="O356" s="285"/>
    </row>
    <row r="357" spans="13:15" x14ac:dyDescent="0.25">
      <c r="M357" s="544"/>
      <c r="N357" s="545"/>
      <c r="O357" s="285"/>
    </row>
    <row r="358" spans="13:15" x14ac:dyDescent="0.25">
      <c r="M358" s="544"/>
      <c r="N358" s="545"/>
      <c r="O358" s="285"/>
    </row>
    <row r="359" spans="13:15" x14ac:dyDescent="0.25">
      <c r="M359" s="544"/>
      <c r="N359" s="545"/>
      <c r="O359" s="285"/>
    </row>
    <row r="360" spans="13:15" x14ac:dyDescent="0.25">
      <c r="M360" s="544"/>
      <c r="N360" s="545"/>
      <c r="O360" s="285"/>
    </row>
    <row r="361" spans="13:15" x14ac:dyDescent="0.25">
      <c r="M361" s="544"/>
      <c r="N361" s="545"/>
      <c r="O361" s="285"/>
    </row>
    <row r="362" spans="13:15" x14ac:dyDescent="0.25">
      <c r="M362" s="544"/>
      <c r="N362" s="545"/>
      <c r="O362" s="285"/>
    </row>
    <row r="363" spans="13:15" x14ac:dyDescent="0.25">
      <c r="M363" s="544"/>
      <c r="N363" s="545"/>
      <c r="O363" s="285"/>
    </row>
    <row r="364" spans="13:15" x14ac:dyDescent="0.25">
      <c r="M364" s="544"/>
      <c r="N364" s="545"/>
      <c r="O364" s="285"/>
    </row>
    <row r="365" spans="13:15" x14ac:dyDescent="0.25">
      <c r="M365" s="544"/>
      <c r="N365" s="545"/>
      <c r="O365" s="285"/>
    </row>
    <row r="366" spans="13:15" x14ac:dyDescent="0.25">
      <c r="M366" s="544"/>
      <c r="N366" s="545"/>
      <c r="O366" s="285"/>
    </row>
    <row r="367" spans="13:15" x14ac:dyDescent="0.25">
      <c r="M367" s="544"/>
      <c r="N367" s="545"/>
      <c r="O367" s="285"/>
    </row>
    <row r="368" spans="13:15" x14ac:dyDescent="0.25">
      <c r="M368" s="544"/>
      <c r="N368" s="545"/>
      <c r="O368" s="285"/>
    </row>
    <row r="369" spans="13:15" x14ac:dyDescent="0.25">
      <c r="M369" s="544"/>
      <c r="N369" s="545"/>
      <c r="O369" s="285"/>
    </row>
    <row r="370" spans="13:15" x14ac:dyDescent="0.25">
      <c r="M370" s="544"/>
      <c r="N370" s="545"/>
      <c r="O370" s="285"/>
    </row>
    <row r="371" spans="13:15" x14ac:dyDescent="0.25">
      <c r="M371" s="544"/>
      <c r="N371" s="545"/>
      <c r="O371" s="285"/>
    </row>
    <row r="372" spans="13:15" x14ac:dyDescent="0.25">
      <c r="M372" s="544"/>
      <c r="N372" s="545"/>
      <c r="O372" s="285"/>
    </row>
    <row r="373" spans="13:15" x14ac:dyDescent="0.25">
      <c r="M373" s="544"/>
      <c r="N373" s="545"/>
      <c r="O373" s="285"/>
    </row>
    <row r="374" spans="13:15" x14ac:dyDescent="0.25">
      <c r="M374" s="544"/>
      <c r="N374" s="545"/>
      <c r="O374" s="285"/>
    </row>
    <row r="375" spans="13:15" x14ac:dyDescent="0.25">
      <c r="M375" s="544"/>
      <c r="N375" s="545"/>
      <c r="O375" s="285"/>
    </row>
    <row r="376" spans="13:15" x14ac:dyDescent="0.25">
      <c r="M376" s="544"/>
      <c r="N376" s="545"/>
      <c r="O376" s="285"/>
    </row>
    <row r="377" spans="13:15" x14ac:dyDescent="0.25">
      <c r="M377" s="544"/>
      <c r="N377" s="545"/>
      <c r="O377" s="285"/>
    </row>
    <row r="378" spans="13:15" x14ac:dyDescent="0.25">
      <c r="M378" s="544"/>
      <c r="N378" s="545"/>
      <c r="O378" s="285"/>
    </row>
    <row r="379" spans="13:15" x14ac:dyDescent="0.25">
      <c r="M379" s="544"/>
      <c r="N379" s="545"/>
      <c r="O379" s="285"/>
    </row>
    <row r="380" spans="13:15" x14ac:dyDescent="0.25">
      <c r="M380" s="544"/>
      <c r="N380" s="545"/>
      <c r="O380" s="285"/>
    </row>
    <row r="381" spans="13:15" x14ac:dyDescent="0.25">
      <c r="M381" s="544"/>
      <c r="N381" s="545"/>
      <c r="O381" s="285"/>
    </row>
    <row r="382" spans="13:15" x14ac:dyDescent="0.25">
      <c r="M382" s="544"/>
      <c r="N382" s="545"/>
      <c r="O382" s="285"/>
    </row>
    <row r="383" spans="13:15" x14ac:dyDescent="0.25">
      <c r="M383" s="544"/>
      <c r="N383" s="545"/>
      <c r="O383" s="285"/>
    </row>
    <row r="384" spans="13:15" x14ac:dyDescent="0.25">
      <c r="M384" s="544"/>
      <c r="N384" s="545"/>
      <c r="O384" s="285"/>
    </row>
    <row r="385" spans="13:15" x14ac:dyDescent="0.25">
      <c r="M385" s="544"/>
      <c r="N385" s="545"/>
      <c r="O385" s="285"/>
    </row>
    <row r="386" spans="13:15" x14ac:dyDescent="0.25">
      <c r="M386" s="544"/>
      <c r="N386" s="545"/>
      <c r="O386" s="285"/>
    </row>
    <row r="387" spans="13:15" x14ac:dyDescent="0.25">
      <c r="M387" s="544"/>
      <c r="N387" s="545"/>
      <c r="O387" s="285"/>
    </row>
    <row r="388" spans="13:15" x14ac:dyDescent="0.25">
      <c r="M388" s="544"/>
      <c r="N388" s="545"/>
      <c r="O388" s="285"/>
    </row>
    <row r="389" spans="13:15" x14ac:dyDescent="0.25">
      <c r="M389" s="544"/>
      <c r="N389" s="545"/>
      <c r="O389" s="285"/>
    </row>
    <row r="390" spans="13:15" x14ac:dyDescent="0.25">
      <c r="M390" s="544"/>
      <c r="N390" s="545"/>
      <c r="O390" s="285"/>
    </row>
    <row r="391" spans="13:15" x14ac:dyDescent="0.25">
      <c r="M391" s="544"/>
      <c r="N391" s="545"/>
      <c r="O391" s="285"/>
    </row>
    <row r="392" spans="13:15" x14ac:dyDescent="0.25">
      <c r="M392" s="544"/>
      <c r="N392" s="545"/>
      <c r="O392" s="285"/>
    </row>
    <row r="393" spans="13:15" x14ac:dyDescent="0.25">
      <c r="M393" s="544"/>
      <c r="N393" s="545"/>
      <c r="O393" s="285"/>
    </row>
    <row r="394" spans="13:15" x14ac:dyDescent="0.25">
      <c r="M394" s="544"/>
      <c r="N394" s="545"/>
      <c r="O394" s="285"/>
    </row>
    <row r="395" spans="13:15" x14ac:dyDescent="0.25">
      <c r="M395" s="544"/>
      <c r="N395" s="545"/>
      <c r="O395" s="285"/>
    </row>
    <row r="396" spans="13:15" x14ac:dyDescent="0.25">
      <c r="M396" s="544"/>
      <c r="N396" s="545"/>
      <c r="O396" s="285"/>
    </row>
    <row r="397" spans="13:15" x14ac:dyDescent="0.25">
      <c r="M397" s="544"/>
      <c r="N397" s="545"/>
      <c r="O397" s="285"/>
    </row>
    <row r="398" spans="13:15" x14ac:dyDescent="0.25">
      <c r="M398" s="544"/>
      <c r="N398" s="545"/>
      <c r="O398" s="285"/>
    </row>
    <row r="399" spans="13:15" x14ac:dyDescent="0.25">
      <c r="M399" s="544"/>
      <c r="N399" s="545"/>
      <c r="O399" s="285"/>
    </row>
    <row r="400" spans="13:15" x14ac:dyDescent="0.25">
      <c r="M400" s="544"/>
      <c r="N400" s="545"/>
      <c r="O400" s="285"/>
    </row>
    <row r="401" spans="13:15" x14ac:dyDescent="0.25">
      <c r="M401" s="544"/>
      <c r="N401" s="545"/>
      <c r="O401" s="285"/>
    </row>
    <row r="402" spans="13:15" x14ac:dyDescent="0.25">
      <c r="M402" s="544"/>
      <c r="N402" s="545"/>
      <c r="O402" s="285"/>
    </row>
    <row r="403" spans="13:15" x14ac:dyDescent="0.25">
      <c r="M403" s="544"/>
      <c r="N403" s="545"/>
      <c r="O403" s="285"/>
    </row>
    <row r="404" spans="13:15" x14ac:dyDescent="0.25">
      <c r="M404" s="544"/>
      <c r="N404" s="545"/>
      <c r="O404" s="285"/>
    </row>
    <row r="405" spans="13:15" x14ac:dyDescent="0.25">
      <c r="M405" s="544"/>
      <c r="N405" s="545"/>
      <c r="O405" s="285"/>
    </row>
    <row r="406" spans="13:15" x14ac:dyDescent="0.25">
      <c r="M406" s="544"/>
      <c r="N406" s="545"/>
      <c r="O406" s="285"/>
    </row>
    <row r="407" spans="13:15" x14ac:dyDescent="0.25">
      <c r="M407" s="544"/>
      <c r="N407" s="545"/>
      <c r="O407" s="285"/>
    </row>
    <row r="408" spans="13:15" x14ac:dyDescent="0.25">
      <c r="M408" s="544"/>
      <c r="N408" s="545"/>
      <c r="O408" s="285"/>
    </row>
    <row r="409" spans="13:15" x14ac:dyDescent="0.25">
      <c r="M409" s="544"/>
      <c r="N409" s="545"/>
      <c r="O409" s="285"/>
    </row>
    <row r="410" spans="13:15" x14ac:dyDescent="0.25">
      <c r="M410" s="544"/>
      <c r="N410" s="545"/>
      <c r="O410" s="285"/>
    </row>
    <row r="411" spans="13:15" x14ac:dyDescent="0.25">
      <c r="M411" s="544"/>
      <c r="N411" s="545"/>
      <c r="O411" s="285"/>
    </row>
    <row r="412" spans="13:15" x14ac:dyDescent="0.25">
      <c r="M412" s="544"/>
      <c r="N412" s="545"/>
      <c r="O412" s="285"/>
    </row>
    <row r="413" spans="13:15" x14ac:dyDescent="0.25">
      <c r="M413" s="544"/>
      <c r="N413" s="545"/>
      <c r="O413" s="285"/>
    </row>
    <row r="414" spans="13:15" x14ac:dyDescent="0.25">
      <c r="M414" s="544"/>
      <c r="N414" s="545"/>
      <c r="O414" s="285"/>
    </row>
    <row r="415" spans="13:15" x14ac:dyDescent="0.25">
      <c r="M415" s="544"/>
      <c r="N415" s="545"/>
      <c r="O415" s="285"/>
    </row>
    <row r="416" spans="13:15" x14ac:dyDescent="0.25">
      <c r="M416" s="544"/>
      <c r="N416" s="545"/>
      <c r="O416" s="285"/>
    </row>
    <row r="417" spans="13:15" x14ac:dyDescent="0.25">
      <c r="M417" s="544"/>
      <c r="N417" s="545"/>
      <c r="O417" s="285"/>
    </row>
    <row r="418" spans="13:15" x14ac:dyDescent="0.25">
      <c r="M418" s="544"/>
      <c r="N418" s="545"/>
      <c r="O418" s="285"/>
    </row>
    <row r="419" spans="13:15" x14ac:dyDescent="0.25">
      <c r="M419" s="544"/>
      <c r="N419" s="545"/>
      <c r="O419" s="285"/>
    </row>
    <row r="420" spans="13:15" x14ac:dyDescent="0.25">
      <c r="M420" s="544"/>
      <c r="N420" s="545"/>
      <c r="O420" s="285"/>
    </row>
    <row r="421" spans="13:15" x14ac:dyDescent="0.25">
      <c r="M421" s="544"/>
      <c r="N421" s="545"/>
      <c r="O421" s="285"/>
    </row>
    <row r="422" spans="13:15" x14ac:dyDescent="0.25">
      <c r="M422" s="544"/>
      <c r="N422" s="545"/>
      <c r="O422" s="285"/>
    </row>
    <row r="423" spans="13:15" x14ac:dyDescent="0.25">
      <c r="M423" s="544"/>
      <c r="N423" s="545"/>
      <c r="O423" s="285"/>
    </row>
    <row r="424" spans="13:15" x14ac:dyDescent="0.25">
      <c r="M424" s="544"/>
      <c r="N424" s="545"/>
      <c r="O424" s="285"/>
    </row>
    <row r="425" spans="13:15" x14ac:dyDescent="0.25">
      <c r="M425" s="544"/>
      <c r="N425" s="545"/>
      <c r="O425" s="285"/>
    </row>
    <row r="426" spans="13:15" x14ac:dyDescent="0.25">
      <c r="M426" s="544"/>
      <c r="N426" s="545"/>
      <c r="O426" s="285"/>
    </row>
    <row r="427" spans="13:15" x14ac:dyDescent="0.25">
      <c r="M427" s="544"/>
      <c r="N427" s="545"/>
      <c r="O427" s="285"/>
    </row>
    <row r="428" spans="13:15" x14ac:dyDescent="0.25">
      <c r="M428" s="544"/>
      <c r="N428" s="545"/>
      <c r="O428" s="285"/>
    </row>
    <row r="429" spans="13:15" x14ac:dyDescent="0.25">
      <c r="M429" s="544"/>
      <c r="N429" s="545"/>
      <c r="O429" s="285"/>
    </row>
    <row r="430" spans="13:15" x14ac:dyDescent="0.25">
      <c r="M430" s="544"/>
      <c r="N430" s="545"/>
      <c r="O430" s="285"/>
    </row>
    <row r="431" spans="13:15" x14ac:dyDescent="0.25">
      <c r="M431" s="544"/>
      <c r="N431" s="545"/>
      <c r="O431" s="285"/>
    </row>
    <row r="432" spans="13:15" x14ac:dyDescent="0.25">
      <c r="M432" s="544"/>
      <c r="N432" s="545"/>
      <c r="O432" s="285"/>
    </row>
    <row r="433" spans="13:15" x14ac:dyDescent="0.25">
      <c r="M433" s="544"/>
      <c r="N433" s="545"/>
      <c r="O433" s="285"/>
    </row>
    <row r="434" spans="13:15" x14ac:dyDescent="0.25">
      <c r="M434" s="544"/>
      <c r="N434" s="545"/>
      <c r="O434" s="285"/>
    </row>
    <row r="435" spans="13:15" x14ac:dyDescent="0.25">
      <c r="M435" s="544"/>
      <c r="N435" s="545"/>
      <c r="O435" s="285"/>
    </row>
    <row r="436" spans="13:15" x14ac:dyDescent="0.25">
      <c r="M436" s="544"/>
      <c r="N436" s="545"/>
      <c r="O436" s="285"/>
    </row>
    <row r="437" spans="13:15" x14ac:dyDescent="0.25">
      <c r="M437" s="544"/>
      <c r="N437" s="545"/>
      <c r="O437" s="285"/>
    </row>
    <row r="438" spans="13:15" x14ac:dyDescent="0.25">
      <c r="M438" s="544"/>
      <c r="N438" s="545"/>
      <c r="O438" s="285"/>
    </row>
    <row r="439" spans="13:15" x14ac:dyDescent="0.25">
      <c r="M439" s="544"/>
      <c r="N439" s="545"/>
      <c r="O439" s="285"/>
    </row>
    <row r="440" spans="13:15" x14ac:dyDescent="0.25">
      <c r="M440" s="544"/>
      <c r="N440" s="545"/>
      <c r="O440" s="285"/>
    </row>
    <row r="441" spans="13:15" x14ac:dyDescent="0.25">
      <c r="M441" s="544"/>
      <c r="N441" s="545"/>
      <c r="O441" s="285"/>
    </row>
    <row r="442" spans="13:15" x14ac:dyDescent="0.25">
      <c r="M442" s="544"/>
      <c r="N442" s="545"/>
      <c r="O442" s="285"/>
    </row>
    <row r="443" spans="13:15" x14ac:dyDescent="0.25">
      <c r="M443" s="544"/>
      <c r="N443" s="545"/>
      <c r="O443" s="285"/>
    </row>
    <row r="444" spans="13:15" x14ac:dyDescent="0.25">
      <c r="M444" s="544"/>
      <c r="N444" s="545"/>
      <c r="O444" s="285"/>
    </row>
    <row r="445" spans="13:15" x14ac:dyDescent="0.25">
      <c r="M445" s="544"/>
      <c r="N445" s="545"/>
      <c r="O445" s="285"/>
    </row>
    <row r="446" spans="13:15" x14ac:dyDescent="0.25">
      <c r="M446" s="544"/>
      <c r="N446" s="545"/>
      <c r="O446" s="285"/>
    </row>
    <row r="447" spans="13:15" x14ac:dyDescent="0.25">
      <c r="M447" s="544"/>
      <c r="N447" s="545"/>
      <c r="O447" s="285"/>
    </row>
    <row r="448" spans="13:15" x14ac:dyDescent="0.25">
      <c r="M448" s="544"/>
      <c r="N448" s="545"/>
      <c r="O448" s="285"/>
    </row>
    <row r="449" spans="13:15" x14ac:dyDescent="0.25">
      <c r="M449" s="544"/>
      <c r="N449" s="545"/>
      <c r="O449" s="285"/>
    </row>
    <row r="450" spans="13:15" x14ac:dyDescent="0.25">
      <c r="M450" s="544"/>
      <c r="N450" s="545"/>
      <c r="O450" s="285"/>
    </row>
    <row r="451" spans="13:15" x14ac:dyDescent="0.25">
      <c r="M451" s="544"/>
      <c r="N451" s="545"/>
      <c r="O451" s="285"/>
    </row>
    <row r="452" spans="13:15" x14ac:dyDescent="0.25">
      <c r="M452" s="544"/>
      <c r="N452" s="545"/>
      <c r="O452" s="285"/>
    </row>
    <row r="453" spans="13:15" x14ac:dyDescent="0.25">
      <c r="M453" s="544"/>
      <c r="N453" s="545"/>
      <c r="O453" s="285"/>
    </row>
    <row r="454" spans="13:15" x14ac:dyDescent="0.25">
      <c r="M454" s="544"/>
      <c r="N454" s="545"/>
      <c r="O454" s="285"/>
    </row>
    <row r="455" spans="13:15" x14ac:dyDescent="0.25">
      <c r="M455" s="544"/>
      <c r="N455" s="545"/>
      <c r="O455" s="285"/>
    </row>
    <row r="456" spans="13:15" x14ac:dyDescent="0.25">
      <c r="M456" s="544"/>
      <c r="N456" s="545"/>
      <c r="O456" s="285"/>
    </row>
    <row r="457" spans="13:15" x14ac:dyDescent="0.25">
      <c r="M457" s="544"/>
      <c r="N457" s="545"/>
      <c r="O457" s="285"/>
    </row>
    <row r="458" spans="13:15" x14ac:dyDescent="0.25">
      <c r="M458" s="544"/>
      <c r="N458" s="545"/>
      <c r="O458" s="285"/>
    </row>
    <row r="459" spans="13:15" x14ac:dyDescent="0.25">
      <c r="M459" s="544"/>
      <c r="N459" s="545"/>
      <c r="O459" s="285"/>
    </row>
    <row r="460" spans="13:15" x14ac:dyDescent="0.25">
      <c r="M460" s="544"/>
      <c r="N460" s="545"/>
      <c r="O460" s="285"/>
    </row>
    <row r="461" spans="13:15" x14ac:dyDescent="0.25">
      <c r="M461" s="544"/>
      <c r="N461" s="545"/>
      <c r="O461" s="285"/>
    </row>
    <row r="462" spans="13:15" x14ac:dyDescent="0.25">
      <c r="M462" s="544"/>
      <c r="N462" s="545"/>
      <c r="O462" s="285"/>
    </row>
    <row r="463" spans="13:15" x14ac:dyDescent="0.25">
      <c r="M463" s="544"/>
      <c r="N463" s="545"/>
      <c r="O463" s="285"/>
    </row>
    <row r="464" spans="13:15" x14ac:dyDescent="0.25">
      <c r="M464" s="544"/>
      <c r="N464" s="545"/>
      <c r="O464" s="285"/>
    </row>
    <row r="465" spans="13:15" x14ac:dyDescent="0.25">
      <c r="M465" s="544"/>
      <c r="N465" s="545"/>
      <c r="O465" s="285"/>
    </row>
    <row r="466" spans="13:15" x14ac:dyDescent="0.25">
      <c r="M466" s="544"/>
      <c r="N466" s="545"/>
      <c r="O466" s="285"/>
    </row>
    <row r="467" spans="13:15" x14ac:dyDescent="0.25">
      <c r="M467" s="544"/>
      <c r="N467" s="545"/>
      <c r="O467" s="285"/>
    </row>
    <row r="468" spans="13:15" x14ac:dyDescent="0.25">
      <c r="M468" s="544"/>
      <c r="N468" s="545"/>
      <c r="O468" s="285"/>
    </row>
    <row r="469" spans="13:15" x14ac:dyDescent="0.25">
      <c r="M469" s="544"/>
      <c r="N469" s="545"/>
      <c r="O469" s="285"/>
    </row>
    <row r="470" spans="13:15" x14ac:dyDescent="0.25">
      <c r="M470" s="544"/>
      <c r="N470" s="545"/>
      <c r="O470" s="285"/>
    </row>
    <row r="471" spans="13:15" x14ac:dyDescent="0.25">
      <c r="M471" s="544"/>
      <c r="N471" s="545"/>
      <c r="O471" s="285"/>
    </row>
    <row r="472" spans="13:15" x14ac:dyDescent="0.25">
      <c r="M472" s="544"/>
      <c r="N472" s="545"/>
      <c r="O472" s="285"/>
    </row>
    <row r="473" spans="13:15" x14ac:dyDescent="0.25">
      <c r="M473" s="544"/>
      <c r="N473" s="545"/>
      <c r="O473" s="285"/>
    </row>
    <row r="474" spans="13:15" x14ac:dyDescent="0.25">
      <c r="M474" s="544"/>
      <c r="N474" s="545"/>
      <c r="O474" s="285"/>
    </row>
    <row r="475" spans="13:15" x14ac:dyDescent="0.25">
      <c r="M475" s="544"/>
      <c r="N475" s="545"/>
      <c r="O475" s="285"/>
    </row>
    <row r="476" spans="13:15" x14ac:dyDescent="0.25">
      <c r="M476" s="544"/>
      <c r="N476" s="545"/>
      <c r="O476" s="285"/>
    </row>
    <row r="477" spans="13:15" x14ac:dyDescent="0.25">
      <c r="M477" s="544"/>
      <c r="N477" s="545"/>
      <c r="O477" s="285"/>
    </row>
    <row r="478" spans="13:15" x14ac:dyDescent="0.25">
      <c r="M478" s="544"/>
      <c r="N478" s="545"/>
      <c r="O478" s="285"/>
    </row>
    <row r="479" spans="13:15" x14ac:dyDescent="0.25">
      <c r="M479" s="544"/>
      <c r="N479" s="545"/>
      <c r="O479" s="285"/>
    </row>
    <row r="480" spans="13:15" x14ac:dyDescent="0.25">
      <c r="M480" s="544"/>
      <c r="N480" s="545"/>
      <c r="O480" s="285"/>
    </row>
    <row r="481" spans="13:15" x14ac:dyDescent="0.25">
      <c r="M481" s="544"/>
      <c r="N481" s="545"/>
      <c r="O481" s="285"/>
    </row>
    <row r="482" spans="13:15" x14ac:dyDescent="0.25">
      <c r="M482" s="544"/>
      <c r="N482" s="545"/>
      <c r="O482" s="285"/>
    </row>
    <row r="483" spans="13:15" x14ac:dyDescent="0.25">
      <c r="M483" s="544"/>
      <c r="N483" s="545"/>
      <c r="O483" s="285"/>
    </row>
    <row r="484" spans="13:15" x14ac:dyDescent="0.25">
      <c r="M484" s="544"/>
      <c r="N484" s="545"/>
      <c r="O484" s="285"/>
    </row>
    <row r="485" spans="13:15" x14ac:dyDescent="0.25">
      <c r="M485" s="544"/>
      <c r="N485" s="545"/>
      <c r="O485" s="285"/>
    </row>
    <row r="486" spans="13:15" x14ac:dyDescent="0.25">
      <c r="M486" s="544"/>
      <c r="N486" s="545"/>
      <c r="O486" s="285"/>
    </row>
    <row r="487" spans="13:15" x14ac:dyDescent="0.25">
      <c r="M487" s="544"/>
      <c r="N487" s="545"/>
      <c r="O487" s="285"/>
    </row>
    <row r="488" spans="13:15" x14ac:dyDescent="0.25">
      <c r="M488" s="544"/>
      <c r="N488" s="545"/>
      <c r="O488" s="285"/>
    </row>
    <row r="489" spans="13:15" x14ac:dyDescent="0.25">
      <c r="M489" s="544"/>
      <c r="N489" s="545"/>
      <c r="O489" s="285"/>
    </row>
    <row r="490" spans="13:15" x14ac:dyDescent="0.25">
      <c r="M490" s="544"/>
      <c r="N490" s="545"/>
      <c r="O490" s="285"/>
    </row>
    <row r="491" spans="13:15" x14ac:dyDescent="0.25">
      <c r="M491" s="544"/>
      <c r="N491" s="545"/>
      <c r="O491" s="285"/>
    </row>
    <row r="492" spans="13:15" x14ac:dyDescent="0.25">
      <c r="M492" s="544"/>
      <c r="N492" s="545"/>
      <c r="O492" s="285"/>
    </row>
    <row r="493" spans="13:15" x14ac:dyDescent="0.25">
      <c r="M493" s="544"/>
      <c r="N493" s="545"/>
      <c r="O493" s="285"/>
    </row>
    <row r="494" spans="13:15" x14ac:dyDescent="0.25">
      <c r="M494" s="544"/>
      <c r="N494" s="545"/>
      <c r="O494" s="285"/>
    </row>
    <row r="495" spans="13:15" x14ac:dyDescent="0.25">
      <c r="M495" s="544"/>
      <c r="N495" s="545"/>
      <c r="O495" s="285"/>
    </row>
    <row r="496" spans="13:15" x14ac:dyDescent="0.25">
      <c r="M496" s="544"/>
      <c r="N496" s="545"/>
      <c r="O496" s="285"/>
    </row>
    <row r="497" spans="13:15" x14ac:dyDescent="0.25">
      <c r="M497" s="544"/>
      <c r="N497" s="545"/>
      <c r="O497" s="285"/>
    </row>
    <row r="498" spans="13:15" x14ac:dyDescent="0.25">
      <c r="M498" s="544"/>
      <c r="N498" s="545"/>
      <c r="O498" s="285"/>
    </row>
    <row r="499" spans="13:15" x14ac:dyDescent="0.25">
      <c r="M499" s="544"/>
      <c r="N499" s="545"/>
      <c r="O499" s="285"/>
    </row>
    <row r="500" spans="13:15" x14ac:dyDescent="0.25">
      <c r="M500" s="544"/>
      <c r="N500" s="545"/>
      <c r="O500" s="285"/>
    </row>
    <row r="501" spans="13:15" x14ac:dyDescent="0.25">
      <c r="M501" s="544"/>
      <c r="N501" s="545"/>
      <c r="O501" s="285"/>
    </row>
    <row r="502" spans="13:15" x14ac:dyDescent="0.25">
      <c r="M502" s="544"/>
      <c r="N502" s="545"/>
      <c r="O502" s="285"/>
    </row>
    <row r="503" spans="13:15" x14ac:dyDescent="0.25">
      <c r="M503" s="544"/>
      <c r="N503" s="545"/>
      <c r="O503" s="285"/>
    </row>
    <row r="504" spans="13:15" x14ac:dyDescent="0.25">
      <c r="M504" s="544"/>
      <c r="N504" s="545"/>
      <c r="O504" s="285"/>
    </row>
    <row r="505" spans="13:15" x14ac:dyDescent="0.25">
      <c r="M505" s="544"/>
      <c r="N505" s="545"/>
      <c r="O505" s="285"/>
    </row>
    <row r="506" spans="13:15" x14ac:dyDescent="0.25">
      <c r="M506" s="544"/>
      <c r="N506" s="545"/>
      <c r="O506" s="285"/>
    </row>
    <row r="507" spans="13:15" x14ac:dyDescent="0.25">
      <c r="M507" s="544"/>
      <c r="N507" s="545"/>
      <c r="O507" s="285"/>
    </row>
    <row r="508" spans="13:15" x14ac:dyDescent="0.25">
      <c r="M508" s="544"/>
      <c r="N508" s="545"/>
      <c r="O508" s="285"/>
    </row>
    <row r="509" spans="13:15" x14ac:dyDescent="0.25">
      <c r="M509" s="544"/>
      <c r="N509" s="545"/>
      <c r="O509" s="285"/>
    </row>
    <row r="510" spans="13:15" x14ac:dyDescent="0.25">
      <c r="M510" s="544"/>
      <c r="N510" s="545"/>
      <c r="O510" s="285"/>
    </row>
    <row r="511" spans="13:15" x14ac:dyDescent="0.25">
      <c r="M511" s="544"/>
      <c r="N511" s="545"/>
      <c r="O511" s="285"/>
    </row>
    <row r="512" spans="13:15" x14ac:dyDescent="0.25">
      <c r="M512" s="544"/>
      <c r="N512" s="545"/>
      <c r="O512" s="285"/>
    </row>
    <row r="513" spans="13:15" x14ac:dyDescent="0.25">
      <c r="M513" s="544"/>
      <c r="N513" s="545"/>
      <c r="O513" s="285"/>
    </row>
    <row r="514" spans="13:15" x14ac:dyDescent="0.25">
      <c r="M514" s="544"/>
      <c r="N514" s="545"/>
      <c r="O514" s="285"/>
    </row>
    <row r="515" spans="13:15" x14ac:dyDescent="0.25">
      <c r="M515" s="544"/>
      <c r="N515" s="545"/>
      <c r="O515" s="285"/>
    </row>
    <row r="516" spans="13:15" x14ac:dyDescent="0.25">
      <c r="M516" s="544"/>
      <c r="N516" s="545"/>
      <c r="O516" s="285"/>
    </row>
    <row r="517" spans="13:15" x14ac:dyDescent="0.25">
      <c r="M517" s="544"/>
      <c r="N517" s="545"/>
      <c r="O517" s="285"/>
    </row>
    <row r="518" spans="13:15" x14ac:dyDescent="0.25">
      <c r="M518" s="544"/>
      <c r="N518" s="545"/>
      <c r="O518" s="285"/>
    </row>
    <row r="519" spans="13:15" x14ac:dyDescent="0.25">
      <c r="M519" s="544"/>
      <c r="N519" s="545"/>
      <c r="O519" s="285"/>
    </row>
    <row r="520" spans="13:15" x14ac:dyDescent="0.25">
      <c r="M520" s="544"/>
      <c r="N520" s="545"/>
      <c r="O520" s="285"/>
    </row>
    <row r="521" spans="13:15" x14ac:dyDescent="0.25">
      <c r="M521" s="544"/>
      <c r="N521" s="545"/>
      <c r="O521" s="285"/>
    </row>
    <row r="522" spans="13:15" x14ac:dyDescent="0.25">
      <c r="M522" s="544"/>
      <c r="N522" s="545"/>
      <c r="O522" s="285"/>
    </row>
    <row r="523" spans="13:15" x14ac:dyDescent="0.25">
      <c r="M523" s="544"/>
      <c r="N523" s="545"/>
      <c r="O523" s="285"/>
    </row>
    <row r="524" spans="13:15" x14ac:dyDescent="0.25">
      <c r="M524" s="544"/>
      <c r="N524" s="545"/>
      <c r="O524" s="285"/>
    </row>
    <row r="525" spans="13:15" x14ac:dyDescent="0.25">
      <c r="M525" s="544"/>
      <c r="N525" s="545"/>
      <c r="O525" s="285"/>
    </row>
    <row r="526" spans="13:15" x14ac:dyDescent="0.25">
      <c r="M526" s="544"/>
      <c r="N526" s="545"/>
      <c r="O526" s="285"/>
    </row>
    <row r="527" spans="13:15" x14ac:dyDescent="0.25">
      <c r="M527" s="544"/>
      <c r="N527" s="545"/>
      <c r="O527" s="285"/>
    </row>
    <row r="528" spans="13:15" x14ac:dyDescent="0.25">
      <c r="M528" s="544"/>
      <c r="N528" s="545"/>
      <c r="O528" s="285"/>
    </row>
    <row r="529" spans="13:15" x14ac:dyDescent="0.25">
      <c r="M529" s="544"/>
      <c r="N529" s="545"/>
      <c r="O529" s="285"/>
    </row>
    <row r="530" spans="13:15" x14ac:dyDescent="0.25">
      <c r="M530" s="544"/>
      <c r="N530" s="545"/>
      <c r="O530" s="285"/>
    </row>
    <row r="531" spans="13:15" x14ac:dyDescent="0.25">
      <c r="M531" s="544"/>
      <c r="N531" s="545"/>
      <c r="O531" s="285"/>
    </row>
    <row r="532" spans="13:15" x14ac:dyDescent="0.25">
      <c r="M532" s="544"/>
      <c r="N532" s="545"/>
      <c r="O532" s="285"/>
    </row>
    <row r="533" spans="13:15" x14ac:dyDescent="0.25">
      <c r="M533" s="544"/>
      <c r="N533" s="545"/>
      <c r="O533" s="285"/>
    </row>
    <row r="534" spans="13:15" x14ac:dyDescent="0.25">
      <c r="M534" s="544"/>
      <c r="N534" s="545"/>
      <c r="O534" s="285"/>
    </row>
    <row r="535" spans="13:15" x14ac:dyDescent="0.25">
      <c r="M535" s="544"/>
      <c r="N535" s="545"/>
      <c r="O535" s="285"/>
    </row>
    <row r="536" spans="13:15" x14ac:dyDescent="0.25">
      <c r="M536" s="544"/>
      <c r="N536" s="545"/>
      <c r="O536" s="285"/>
    </row>
    <row r="537" spans="13:15" x14ac:dyDescent="0.25">
      <c r="M537" s="544"/>
      <c r="N537" s="545"/>
      <c r="O537" s="285"/>
    </row>
    <row r="538" spans="13:15" x14ac:dyDescent="0.25">
      <c r="M538" s="544"/>
      <c r="N538" s="545"/>
      <c r="O538" s="285"/>
    </row>
    <row r="539" spans="13:15" x14ac:dyDescent="0.25">
      <c r="M539" s="544"/>
      <c r="N539" s="545"/>
      <c r="O539" s="285"/>
    </row>
    <row r="540" spans="13:15" x14ac:dyDescent="0.25">
      <c r="M540" s="544"/>
      <c r="N540" s="545"/>
      <c r="O540" s="285"/>
    </row>
    <row r="541" spans="13:15" x14ac:dyDescent="0.25">
      <c r="M541" s="544"/>
      <c r="N541" s="545"/>
      <c r="O541" s="285"/>
    </row>
    <row r="542" spans="13:15" x14ac:dyDescent="0.25">
      <c r="M542" s="544"/>
      <c r="N542" s="545"/>
      <c r="O542" s="285"/>
    </row>
    <row r="543" spans="13:15" x14ac:dyDescent="0.25">
      <c r="M543" s="544"/>
      <c r="N543" s="545"/>
      <c r="O543" s="285"/>
    </row>
    <row r="544" spans="13:15" x14ac:dyDescent="0.25">
      <c r="M544" s="544"/>
      <c r="N544" s="545"/>
      <c r="O544" s="285"/>
    </row>
    <row r="545" spans="13:15" x14ac:dyDescent="0.25">
      <c r="M545" s="544"/>
      <c r="N545" s="545"/>
      <c r="O545" s="285"/>
    </row>
    <row r="546" spans="13:15" x14ac:dyDescent="0.25">
      <c r="M546" s="544"/>
      <c r="N546" s="545"/>
      <c r="O546" s="285"/>
    </row>
    <row r="547" spans="13:15" x14ac:dyDescent="0.25">
      <c r="M547" s="544"/>
      <c r="N547" s="545"/>
      <c r="O547" s="285"/>
    </row>
    <row r="548" spans="13:15" x14ac:dyDescent="0.25">
      <c r="M548" s="544"/>
      <c r="N548" s="545"/>
      <c r="O548" s="285"/>
    </row>
    <row r="549" spans="13:15" x14ac:dyDescent="0.25">
      <c r="M549" s="544"/>
      <c r="N549" s="545"/>
      <c r="O549" s="285"/>
    </row>
    <row r="550" spans="13:15" x14ac:dyDescent="0.25">
      <c r="M550" s="544"/>
      <c r="N550" s="545"/>
      <c r="O550" s="285"/>
    </row>
    <row r="551" spans="13:15" x14ac:dyDescent="0.25">
      <c r="M551" s="544"/>
      <c r="N551" s="545"/>
      <c r="O551" s="285"/>
    </row>
    <row r="552" spans="13:15" x14ac:dyDescent="0.25">
      <c r="M552" s="544"/>
      <c r="N552" s="545"/>
      <c r="O552" s="285"/>
    </row>
    <row r="553" spans="13:15" x14ac:dyDescent="0.25">
      <c r="M553" s="544"/>
      <c r="N553" s="545"/>
      <c r="O553" s="285"/>
    </row>
    <row r="554" spans="13:15" x14ac:dyDescent="0.25">
      <c r="M554" s="544"/>
      <c r="N554" s="545"/>
      <c r="O554" s="285"/>
    </row>
    <row r="555" spans="13:15" x14ac:dyDescent="0.25">
      <c r="M555" s="544"/>
      <c r="N555" s="545"/>
      <c r="O555" s="285"/>
    </row>
    <row r="556" spans="13:15" x14ac:dyDescent="0.25">
      <c r="M556" s="544"/>
      <c r="N556" s="545"/>
      <c r="O556" s="285"/>
    </row>
    <row r="557" spans="13:15" x14ac:dyDescent="0.25">
      <c r="M557" s="544"/>
      <c r="N557" s="545"/>
      <c r="O557" s="285"/>
    </row>
    <row r="558" spans="13:15" x14ac:dyDescent="0.25">
      <c r="M558" s="544"/>
      <c r="N558" s="545"/>
      <c r="O558" s="285"/>
    </row>
    <row r="559" spans="13:15" x14ac:dyDescent="0.25">
      <c r="M559" s="544"/>
      <c r="N559" s="545"/>
      <c r="O559" s="285"/>
    </row>
    <row r="560" spans="13:15" x14ac:dyDescent="0.25">
      <c r="M560" s="544"/>
      <c r="N560" s="545"/>
      <c r="O560" s="285"/>
    </row>
    <row r="561" spans="13:15" x14ac:dyDescent="0.25">
      <c r="M561" s="544"/>
      <c r="N561" s="545"/>
      <c r="O561" s="285"/>
    </row>
    <row r="562" spans="13:15" x14ac:dyDescent="0.25">
      <c r="M562" s="544"/>
      <c r="N562" s="545"/>
      <c r="O562" s="285"/>
    </row>
    <row r="563" spans="13:15" x14ac:dyDescent="0.25">
      <c r="M563" s="544"/>
      <c r="N563" s="545"/>
      <c r="O563" s="285"/>
    </row>
    <row r="564" spans="13:15" x14ac:dyDescent="0.25">
      <c r="M564" s="544"/>
      <c r="N564" s="545"/>
      <c r="O564" s="285"/>
    </row>
    <row r="565" spans="13:15" x14ac:dyDescent="0.25">
      <c r="M565" s="544"/>
      <c r="N565" s="545"/>
      <c r="O565" s="285"/>
    </row>
    <row r="566" spans="13:15" x14ac:dyDescent="0.25">
      <c r="M566" s="544"/>
      <c r="N566" s="545"/>
      <c r="O566" s="285"/>
    </row>
    <row r="567" spans="13:15" x14ac:dyDescent="0.25">
      <c r="M567" s="544"/>
      <c r="N567" s="545"/>
      <c r="O567" s="285"/>
    </row>
    <row r="568" spans="13:15" x14ac:dyDescent="0.25">
      <c r="M568" s="544"/>
      <c r="N568" s="545"/>
      <c r="O568" s="285"/>
    </row>
    <row r="569" spans="13:15" x14ac:dyDescent="0.25">
      <c r="M569" s="544"/>
      <c r="N569" s="545"/>
      <c r="O569" s="285"/>
    </row>
    <row r="570" spans="13:15" x14ac:dyDescent="0.25">
      <c r="M570" s="544"/>
      <c r="N570" s="545"/>
      <c r="O570" s="285"/>
    </row>
    <row r="571" spans="13:15" x14ac:dyDescent="0.25">
      <c r="M571" s="544"/>
      <c r="N571" s="545"/>
      <c r="O571" s="285"/>
    </row>
    <row r="572" spans="13:15" x14ac:dyDescent="0.25">
      <c r="M572" s="544"/>
      <c r="N572" s="545"/>
      <c r="O572" s="285"/>
    </row>
    <row r="573" spans="13:15" x14ac:dyDescent="0.25">
      <c r="M573" s="544"/>
      <c r="N573" s="545"/>
      <c r="O573" s="285"/>
    </row>
    <row r="574" spans="13:15" x14ac:dyDescent="0.25">
      <c r="M574" s="544"/>
      <c r="N574" s="545"/>
      <c r="O574" s="285"/>
    </row>
    <row r="575" spans="13:15" x14ac:dyDescent="0.25">
      <c r="M575" s="544"/>
      <c r="N575" s="545"/>
      <c r="O575" s="285"/>
    </row>
    <row r="576" spans="13:15" x14ac:dyDescent="0.25">
      <c r="M576" s="544"/>
      <c r="N576" s="545"/>
      <c r="O576" s="285"/>
    </row>
    <row r="577" spans="13:15" x14ac:dyDescent="0.25">
      <c r="M577" s="544"/>
      <c r="N577" s="545"/>
      <c r="O577" s="285"/>
    </row>
    <row r="578" spans="13:15" x14ac:dyDescent="0.25">
      <c r="M578" s="544"/>
      <c r="N578" s="545"/>
      <c r="O578" s="285"/>
    </row>
    <row r="579" spans="13:15" x14ac:dyDescent="0.25">
      <c r="M579" s="544"/>
      <c r="N579" s="545"/>
      <c r="O579" s="285"/>
    </row>
    <row r="580" spans="13:15" x14ac:dyDescent="0.25">
      <c r="M580" s="544"/>
      <c r="N580" s="545"/>
      <c r="O580" s="285"/>
    </row>
    <row r="581" spans="13:15" x14ac:dyDescent="0.25">
      <c r="M581" s="544"/>
      <c r="N581" s="545"/>
      <c r="O581" s="285"/>
    </row>
    <row r="582" spans="13:15" x14ac:dyDescent="0.25">
      <c r="M582" s="544"/>
      <c r="N582" s="545"/>
      <c r="O582" s="285"/>
    </row>
    <row r="583" spans="13:15" x14ac:dyDescent="0.25">
      <c r="M583" s="544"/>
      <c r="N583" s="545"/>
      <c r="O583" s="285"/>
    </row>
    <row r="584" spans="13:15" x14ac:dyDescent="0.25">
      <c r="M584" s="544"/>
      <c r="N584" s="545"/>
      <c r="O584" s="285"/>
    </row>
    <row r="585" spans="13:15" x14ac:dyDescent="0.25">
      <c r="M585" s="544"/>
      <c r="N585" s="545"/>
      <c r="O585" s="285"/>
    </row>
    <row r="586" spans="13:15" x14ac:dyDescent="0.25">
      <c r="M586" s="544"/>
      <c r="N586" s="545"/>
      <c r="O586" s="285"/>
    </row>
    <row r="587" spans="13:15" x14ac:dyDescent="0.25">
      <c r="M587" s="544"/>
      <c r="N587" s="545"/>
      <c r="O587" s="285"/>
    </row>
    <row r="588" spans="13:15" x14ac:dyDescent="0.25">
      <c r="M588" s="544"/>
      <c r="N588" s="545"/>
      <c r="O588" s="285"/>
    </row>
    <row r="589" spans="13:15" x14ac:dyDescent="0.25">
      <c r="M589" s="544"/>
      <c r="N589" s="545"/>
      <c r="O589" s="285"/>
    </row>
    <row r="590" spans="13:15" x14ac:dyDescent="0.25">
      <c r="M590" s="544"/>
      <c r="N590" s="545"/>
      <c r="O590" s="285"/>
    </row>
    <row r="591" spans="13:15" x14ac:dyDescent="0.25">
      <c r="M591" s="544"/>
      <c r="N591" s="545"/>
      <c r="O591" s="285"/>
    </row>
    <row r="592" spans="13:15" x14ac:dyDescent="0.25">
      <c r="M592" s="544"/>
      <c r="N592" s="545"/>
      <c r="O592" s="285"/>
    </row>
    <row r="593" spans="13:15" x14ac:dyDescent="0.25">
      <c r="M593" s="544"/>
      <c r="N593" s="545"/>
      <c r="O593" s="285"/>
    </row>
    <row r="594" spans="13:15" x14ac:dyDescent="0.25">
      <c r="M594" s="544"/>
      <c r="N594" s="545"/>
      <c r="O594" s="285"/>
    </row>
    <row r="595" spans="13:15" x14ac:dyDescent="0.25">
      <c r="M595" s="544"/>
      <c r="N595" s="545"/>
      <c r="O595" s="285"/>
    </row>
    <row r="596" spans="13:15" x14ac:dyDescent="0.25">
      <c r="M596" s="544"/>
      <c r="N596" s="545"/>
      <c r="O596" s="285"/>
    </row>
    <row r="597" spans="13:15" x14ac:dyDescent="0.25">
      <c r="M597" s="544"/>
      <c r="N597" s="545"/>
      <c r="O597" s="285"/>
    </row>
    <row r="598" spans="13:15" x14ac:dyDescent="0.25">
      <c r="M598" s="544"/>
      <c r="N598" s="545"/>
      <c r="O598" s="285"/>
    </row>
    <row r="599" spans="13:15" x14ac:dyDescent="0.25">
      <c r="M599" s="544"/>
      <c r="N599" s="545"/>
      <c r="O599" s="285"/>
    </row>
    <row r="600" spans="13:15" x14ac:dyDescent="0.25">
      <c r="M600" s="544"/>
      <c r="N600" s="545"/>
      <c r="O600" s="285"/>
    </row>
    <row r="601" spans="13:15" x14ac:dyDescent="0.25">
      <c r="M601" s="544"/>
      <c r="N601" s="545"/>
      <c r="O601" s="285"/>
    </row>
    <row r="602" spans="13:15" x14ac:dyDescent="0.25">
      <c r="M602" s="544"/>
      <c r="N602" s="545"/>
      <c r="O602" s="285"/>
    </row>
    <row r="603" spans="13:15" x14ac:dyDescent="0.25">
      <c r="M603" s="544"/>
      <c r="N603" s="545"/>
      <c r="O603" s="285"/>
    </row>
    <row r="604" spans="13:15" x14ac:dyDescent="0.25">
      <c r="M604" s="544"/>
      <c r="N604" s="545"/>
      <c r="O604" s="285"/>
    </row>
    <row r="605" spans="13:15" x14ac:dyDescent="0.25">
      <c r="M605" s="544"/>
      <c r="N605" s="545"/>
      <c r="O605" s="285"/>
    </row>
    <row r="606" spans="13:15" x14ac:dyDescent="0.25">
      <c r="M606" s="544"/>
      <c r="N606" s="545"/>
      <c r="O606" s="285"/>
    </row>
    <row r="607" spans="13:15" x14ac:dyDescent="0.25">
      <c r="M607" s="544"/>
      <c r="N607" s="545"/>
      <c r="O607" s="285"/>
    </row>
    <row r="608" spans="13:15" x14ac:dyDescent="0.25">
      <c r="M608" s="544"/>
      <c r="N608" s="545"/>
      <c r="O608" s="285"/>
    </row>
    <row r="609" spans="13:15" x14ac:dyDescent="0.25">
      <c r="M609" s="544"/>
      <c r="N609" s="545"/>
      <c r="O609" s="285"/>
    </row>
    <row r="610" spans="13:15" x14ac:dyDescent="0.25">
      <c r="M610" s="544"/>
      <c r="N610" s="545"/>
      <c r="O610" s="285"/>
    </row>
    <row r="611" spans="13:15" x14ac:dyDescent="0.25">
      <c r="M611" s="544"/>
      <c r="N611" s="545"/>
      <c r="O611" s="285"/>
    </row>
    <row r="612" spans="13:15" x14ac:dyDescent="0.25">
      <c r="M612" s="544"/>
      <c r="N612" s="545"/>
      <c r="O612" s="285"/>
    </row>
    <row r="613" spans="13:15" x14ac:dyDescent="0.25">
      <c r="M613" s="544"/>
      <c r="N613" s="545"/>
      <c r="O613" s="285"/>
    </row>
    <row r="614" spans="13:15" x14ac:dyDescent="0.25">
      <c r="M614" s="544"/>
      <c r="N614" s="545"/>
      <c r="O614" s="285"/>
    </row>
    <row r="615" spans="13:15" x14ac:dyDescent="0.25">
      <c r="M615" s="544"/>
      <c r="N615" s="545"/>
      <c r="O615" s="285"/>
    </row>
    <row r="616" spans="13:15" x14ac:dyDescent="0.25">
      <c r="M616" s="544"/>
      <c r="N616" s="545"/>
      <c r="O616" s="285"/>
    </row>
    <row r="617" spans="13:15" x14ac:dyDescent="0.25">
      <c r="M617" s="544"/>
      <c r="N617" s="545"/>
      <c r="O617" s="285"/>
    </row>
    <row r="618" spans="13:15" x14ac:dyDescent="0.25">
      <c r="M618" s="544"/>
      <c r="N618" s="545"/>
      <c r="O618" s="285"/>
    </row>
    <row r="619" spans="13:15" x14ac:dyDescent="0.25">
      <c r="M619" s="544"/>
      <c r="N619" s="545"/>
      <c r="O619" s="285"/>
    </row>
    <row r="620" spans="13:15" x14ac:dyDescent="0.25">
      <c r="M620" s="544"/>
      <c r="N620" s="545"/>
      <c r="O620" s="285"/>
    </row>
    <row r="621" spans="13:15" x14ac:dyDescent="0.25">
      <c r="M621" s="544"/>
      <c r="N621" s="545"/>
      <c r="O621" s="285"/>
    </row>
    <row r="622" spans="13:15" x14ac:dyDescent="0.25">
      <c r="M622" s="544"/>
      <c r="N622" s="545"/>
      <c r="O622" s="285"/>
    </row>
    <row r="623" spans="13:15" x14ac:dyDescent="0.25">
      <c r="M623" s="544"/>
      <c r="N623" s="545"/>
      <c r="O623" s="285"/>
    </row>
    <row r="624" spans="13:15" x14ac:dyDescent="0.25">
      <c r="M624" s="544"/>
      <c r="N624" s="545"/>
      <c r="O624" s="285"/>
    </row>
    <row r="625" spans="13:15" x14ac:dyDescent="0.25">
      <c r="M625" s="544"/>
      <c r="N625" s="545"/>
      <c r="O625" s="285"/>
    </row>
    <row r="626" spans="13:15" x14ac:dyDescent="0.25">
      <c r="M626" s="544"/>
      <c r="N626" s="545"/>
      <c r="O626" s="285"/>
    </row>
    <row r="627" spans="13:15" x14ac:dyDescent="0.25">
      <c r="M627" s="544"/>
      <c r="N627" s="545"/>
      <c r="O627" s="285"/>
    </row>
    <row r="628" spans="13:15" x14ac:dyDescent="0.25">
      <c r="M628" s="544"/>
      <c r="N628" s="545"/>
      <c r="O628" s="285"/>
    </row>
    <row r="629" spans="13:15" x14ac:dyDescent="0.25">
      <c r="M629" s="544"/>
      <c r="N629" s="545"/>
      <c r="O629" s="285"/>
    </row>
    <row r="630" spans="13:15" x14ac:dyDescent="0.25">
      <c r="M630" s="544"/>
      <c r="N630" s="545"/>
      <c r="O630" s="285"/>
    </row>
    <row r="631" spans="13:15" x14ac:dyDescent="0.25">
      <c r="M631" s="544"/>
      <c r="N631" s="545"/>
      <c r="O631" s="285"/>
    </row>
    <row r="632" spans="13:15" x14ac:dyDescent="0.25">
      <c r="M632" s="544"/>
      <c r="N632" s="545"/>
      <c r="O632" s="285"/>
    </row>
    <row r="633" spans="13:15" x14ac:dyDescent="0.25">
      <c r="M633" s="544"/>
      <c r="N633" s="545"/>
      <c r="O633" s="285"/>
    </row>
    <row r="634" spans="13:15" x14ac:dyDescent="0.25">
      <c r="M634" s="544"/>
      <c r="N634" s="545"/>
      <c r="O634" s="285"/>
    </row>
    <row r="635" spans="13:15" x14ac:dyDescent="0.25">
      <c r="M635" s="544"/>
      <c r="N635" s="545"/>
      <c r="O635" s="285"/>
    </row>
    <row r="636" spans="13:15" x14ac:dyDescent="0.25">
      <c r="M636" s="544"/>
      <c r="N636" s="545"/>
      <c r="O636" s="285"/>
    </row>
    <row r="637" spans="13:15" x14ac:dyDescent="0.25">
      <c r="M637" s="544"/>
      <c r="N637" s="545"/>
      <c r="O637" s="285"/>
    </row>
    <row r="638" spans="13:15" x14ac:dyDescent="0.25">
      <c r="M638" s="544"/>
      <c r="N638" s="545"/>
      <c r="O638" s="285"/>
    </row>
    <row r="639" spans="13:15" x14ac:dyDescent="0.25">
      <c r="M639" s="544"/>
      <c r="N639" s="545"/>
      <c r="O639" s="285"/>
    </row>
    <row r="640" spans="13:15" x14ac:dyDescent="0.25">
      <c r="M640" s="544"/>
      <c r="N640" s="545"/>
      <c r="O640" s="285"/>
    </row>
    <row r="641" spans="13:15" x14ac:dyDescent="0.25">
      <c r="M641" s="544"/>
      <c r="N641" s="545"/>
      <c r="O641" s="285"/>
    </row>
    <row r="642" spans="13:15" x14ac:dyDescent="0.25">
      <c r="M642" s="544"/>
      <c r="N642" s="545"/>
      <c r="O642" s="285"/>
    </row>
    <row r="643" spans="13:15" x14ac:dyDescent="0.25">
      <c r="M643" s="544"/>
      <c r="N643" s="545"/>
      <c r="O643" s="285"/>
    </row>
    <row r="644" spans="13:15" x14ac:dyDescent="0.25">
      <c r="M644" s="544"/>
      <c r="N644" s="545"/>
      <c r="O644" s="285"/>
    </row>
    <row r="645" spans="13:15" x14ac:dyDescent="0.25">
      <c r="M645" s="544"/>
      <c r="N645" s="545"/>
      <c r="O645" s="285"/>
    </row>
    <row r="646" spans="13:15" x14ac:dyDescent="0.25">
      <c r="M646" s="544"/>
      <c r="N646" s="545"/>
      <c r="O646" s="285"/>
    </row>
    <row r="647" spans="13:15" x14ac:dyDescent="0.25">
      <c r="M647" s="544"/>
      <c r="N647" s="545"/>
      <c r="O647" s="285"/>
    </row>
    <row r="648" spans="13:15" x14ac:dyDescent="0.25">
      <c r="M648" s="544"/>
      <c r="N648" s="545"/>
      <c r="O648" s="285"/>
    </row>
    <row r="649" spans="13:15" x14ac:dyDescent="0.25">
      <c r="M649" s="544"/>
      <c r="N649" s="545"/>
      <c r="O649" s="285"/>
    </row>
    <row r="650" spans="13:15" x14ac:dyDescent="0.25">
      <c r="M650" s="544"/>
      <c r="N650" s="545"/>
      <c r="O650" s="285"/>
    </row>
    <row r="651" spans="13:15" x14ac:dyDescent="0.25">
      <c r="M651" s="544"/>
      <c r="N651" s="545"/>
      <c r="O651" s="285"/>
    </row>
    <row r="652" spans="13:15" x14ac:dyDescent="0.25">
      <c r="M652" s="544"/>
      <c r="N652" s="545"/>
      <c r="O652" s="285"/>
    </row>
    <row r="653" spans="13:15" x14ac:dyDescent="0.25">
      <c r="M653" s="544"/>
      <c r="N653" s="545"/>
      <c r="O653" s="285"/>
    </row>
    <row r="654" spans="13:15" x14ac:dyDescent="0.25">
      <c r="M654" s="544"/>
      <c r="N654" s="545"/>
      <c r="O654" s="285"/>
    </row>
    <row r="655" spans="13:15" x14ac:dyDescent="0.25">
      <c r="M655" s="544"/>
      <c r="N655" s="545"/>
      <c r="O655" s="285"/>
    </row>
    <row r="656" spans="13:15" x14ac:dyDescent="0.25">
      <c r="M656" s="544"/>
      <c r="N656" s="545"/>
      <c r="O656" s="285"/>
    </row>
    <row r="657" spans="13:15" x14ac:dyDescent="0.25">
      <c r="M657" s="544"/>
      <c r="N657" s="545"/>
      <c r="O657" s="285"/>
    </row>
    <row r="658" spans="13:15" x14ac:dyDescent="0.25">
      <c r="M658" s="544"/>
      <c r="N658" s="545"/>
      <c r="O658" s="285"/>
    </row>
    <row r="659" spans="13:15" x14ac:dyDescent="0.25">
      <c r="M659" s="544"/>
      <c r="N659" s="545"/>
      <c r="O659" s="285"/>
    </row>
    <row r="660" spans="13:15" x14ac:dyDescent="0.25">
      <c r="M660" s="544"/>
      <c r="N660" s="545"/>
      <c r="O660" s="285"/>
    </row>
    <row r="661" spans="13:15" x14ac:dyDescent="0.25">
      <c r="M661" s="544"/>
      <c r="N661" s="545"/>
      <c r="O661" s="285"/>
    </row>
    <row r="662" spans="13:15" x14ac:dyDescent="0.25">
      <c r="M662" s="544"/>
      <c r="N662" s="545"/>
      <c r="O662" s="285"/>
    </row>
    <row r="663" spans="13:15" x14ac:dyDescent="0.25">
      <c r="M663" s="544"/>
      <c r="N663" s="545"/>
      <c r="O663" s="285"/>
    </row>
    <row r="664" spans="13:15" x14ac:dyDescent="0.25">
      <c r="M664" s="544"/>
      <c r="N664" s="545"/>
      <c r="O664" s="285"/>
    </row>
    <row r="665" spans="13:15" x14ac:dyDescent="0.25">
      <c r="M665" s="544"/>
      <c r="N665" s="545"/>
      <c r="O665" s="285"/>
    </row>
    <row r="666" spans="13:15" x14ac:dyDescent="0.25">
      <c r="M666" s="544"/>
      <c r="N666" s="545"/>
      <c r="O666" s="285"/>
    </row>
    <row r="667" spans="13:15" x14ac:dyDescent="0.25">
      <c r="M667" s="544"/>
      <c r="N667" s="545"/>
      <c r="O667" s="285"/>
    </row>
    <row r="668" spans="13:15" x14ac:dyDescent="0.25">
      <c r="M668" s="544"/>
      <c r="N668" s="545"/>
      <c r="O668" s="285"/>
    </row>
    <row r="669" spans="13:15" x14ac:dyDescent="0.25">
      <c r="M669" s="544"/>
      <c r="N669" s="545"/>
      <c r="O669" s="285"/>
    </row>
    <row r="670" spans="13:15" x14ac:dyDescent="0.25">
      <c r="M670" s="544"/>
      <c r="N670" s="545"/>
      <c r="O670" s="285"/>
    </row>
    <row r="671" spans="13:15" x14ac:dyDescent="0.25">
      <c r="M671" s="544"/>
      <c r="N671" s="545"/>
      <c r="O671" s="285"/>
    </row>
    <row r="672" spans="13:15" x14ac:dyDescent="0.25">
      <c r="M672" s="544"/>
      <c r="N672" s="545"/>
      <c r="O672" s="285"/>
    </row>
    <row r="673" spans="13:15" x14ac:dyDescent="0.25">
      <c r="M673" s="544"/>
      <c r="N673" s="545"/>
      <c r="O673" s="285"/>
    </row>
    <row r="674" spans="13:15" x14ac:dyDescent="0.25">
      <c r="M674" s="544"/>
      <c r="N674" s="545"/>
      <c r="O674" s="285"/>
    </row>
    <row r="675" spans="13:15" x14ac:dyDescent="0.25">
      <c r="M675" s="544"/>
      <c r="N675" s="545"/>
      <c r="O675" s="285"/>
    </row>
    <row r="676" spans="13:15" x14ac:dyDescent="0.25">
      <c r="M676" s="544"/>
      <c r="N676" s="545"/>
      <c r="O676" s="285"/>
    </row>
    <row r="677" spans="13:15" x14ac:dyDescent="0.25">
      <c r="M677" s="544"/>
      <c r="N677" s="545"/>
      <c r="O677" s="285"/>
    </row>
    <row r="678" spans="13:15" x14ac:dyDescent="0.25">
      <c r="M678" s="544"/>
      <c r="N678" s="545"/>
      <c r="O678" s="285"/>
    </row>
    <row r="679" spans="13:15" x14ac:dyDescent="0.25">
      <c r="M679" s="544"/>
      <c r="N679" s="545"/>
      <c r="O679" s="285"/>
    </row>
    <row r="680" spans="13:15" x14ac:dyDescent="0.25">
      <c r="M680" s="544"/>
      <c r="N680" s="545"/>
      <c r="O680" s="285"/>
    </row>
    <row r="681" spans="13:15" x14ac:dyDescent="0.25">
      <c r="M681" s="544"/>
      <c r="N681" s="545"/>
      <c r="O681" s="285"/>
    </row>
    <row r="682" spans="13:15" x14ac:dyDescent="0.25">
      <c r="M682" s="544"/>
      <c r="N682" s="545"/>
      <c r="O682" s="285"/>
    </row>
    <row r="683" spans="13:15" x14ac:dyDescent="0.25">
      <c r="M683" s="544"/>
      <c r="N683" s="545"/>
      <c r="O683" s="285"/>
    </row>
    <row r="684" spans="13:15" x14ac:dyDescent="0.25">
      <c r="M684" s="544"/>
      <c r="N684" s="545"/>
      <c r="O684" s="285"/>
    </row>
    <row r="685" spans="13:15" x14ac:dyDescent="0.25">
      <c r="M685" s="544"/>
      <c r="N685" s="545"/>
      <c r="O685" s="285"/>
    </row>
    <row r="686" spans="13:15" x14ac:dyDescent="0.25">
      <c r="M686" s="544"/>
      <c r="N686" s="545"/>
      <c r="O686" s="285"/>
    </row>
    <row r="687" spans="13:15" x14ac:dyDescent="0.25">
      <c r="M687" s="544"/>
      <c r="N687" s="545"/>
      <c r="O687" s="285"/>
    </row>
    <row r="688" spans="13:15" x14ac:dyDescent="0.25">
      <c r="M688" s="544"/>
      <c r="N688" s="545"/>
      <c r="O688" s="285"/>
    </row>
    <row r="689" spans="13:15" x14ac:dyDescent="0.25">
      <c r="M689" s="544"/>
      <c r="N689" s="545"/>
      <c r="O689" s="285"/>
    </row>
    <row r="690" spans="13:15" x14ac:dyDescent="0.25">
      <c r="M690" s="544"/>
      <c r="N690" s="545"/>
      <c r="O690" s="285"/>
    </row>
    <row r="691" spans="13:15" x14ac:dyDescent="0.25">
      <c r="M691" s="544"/>
      <c r="N691" s="545"/>
      <c r="O691" s="285"/>
    </row>
    <row r="692" spans="13:15" x14ac:dyDescent="0.25">
      <c r="M692" s="544"/>
      <c r="N692" s="545"/>
      <c r="O692" s="285"/>
    </row>
    <row r="693" spans="13:15" x14ac:dyDescent="0.25">
      <c r="M693" s="544"/>
      <c r="N693" s="545"/>
      <c r="O693" s="285"/>
    </row>
    <row r="694" spans="13:15" x14ac:dyDescent="0.25">
      <c r="M694" s="544"/>
      <c r="N694" s="545"/>
      <c r="O694" s="285"/>
    </row>
    <row r="695" spans="13:15" x14ac:dyDescent="0.25">
      <c r="M695" s="544"/>
      <c r="N695" s="545"/>
      <c r="O695" s="285"/>
    </row>
    <row r="696" spans="13:15" x14ac:dyDescent="0.25">
      <c r="M696" s="544"/>
      <c r="N696" s="545"/>
      <c r="O696" s="285"/>
    </row>
    <row r="697" spans="13:15" x14ac:dyDescent="0.25">
      <c r="M697" s="544"/>
      <c r="N697" s="545"/>
      <c r="O697" s="285"/>
    </row>
    <row r="698" spans="13:15" x14ac:dyDescent="0.25">
      <c r="M698" s="544"/>
      <c r="N698" s="545"/>
      <c r="O698" s="285"/>
    </row>
    <row r="699" spans="13:15" x14ac:dyDescent="0.25">
      <c r="M699" s="544"/>
      <c r="N699" s="545"/>
      <c r="O699" s="285"/>
    </row>
    <row r="700" spans="13:15" x14ac:dyDescent="0.25">
      <c r="M700" s="544"/>
      <c r="N700" s="545"/>
      <c r="O700" s="285"/>
    </row>
    <row r="701" spans="13:15" x14ac:dyDescent="0.25">
      <c r="M701" s="544"/>
      <c r="N701" s="545"/>
      <c r="O701" s="285"/>
    </row>
    <row r="702" spans="13:15" x14ac:dyDescent="0.25">
      <c r="M702" s="544"/>
      <c r="N702" s="545"/>
      <c r="O702" s="285"/>
    </row>
    <row r="703" spans="13:15" x14ac:dyDescent="0.25">
      <c r="M703" s="544"/>
      <c r="N703" s="545"/>
      <c r="O703" s="285"/>
    </row>
    <row r="704" spans="13:15" x14ac:dyDescent="0.25">
      <c r="M704" s="544"/>
      <c r="N704" s="545"/>
      <c r="O704" s="285"/>
    </row>
    <row r="705" spans="13:15" x14ac:dyDescent="0.25">
      <c r="M705" s="544"/>
      <c r="N705" s="545"/>
      <c r="O705" s="285"/>
    </row>
    <row r="706" spans="13:15" x14ac:dyDescent="0.25">
      <c r="M706" s="544"/>
      <c r="N706" s="545"/>
      <c r="O706" s="285"/>
    </row>
    <row r="707" spans="13:15" x14ac:dyDescent="0.25">
      <c r="M707" s="544"/>
      <c r="N707" s="545"/>
      <c r="O707" s="285"/>
    </row>
    <row r="708" spans="13:15" x14ac:dyDescent="0.25">
      <c r="M708" s="544"/>
      <c r="N708" s="545"/>
      <c r="O708" s="285"/>
    </row>
    <row r="709" spans="13:15" x14ac:dyDescent="0.25">
      <c r="M709" s="544"/>
      <c r="N709" s="545"/>
      <c r="O709" s="285"/>
    </row>
    <row r="710" spans="13:15" x14ac:dyDescent="0.25">
      <c r="M710" s="544"/>
      <c r="N710" s="545"/>
      <c r="O710" s="285"/>
    </row>
    <row r="711" spans="13:15" x14ac:dyDescent="0.25">
      <c r="M711" s="544"/>
      <c r="N711" s="545"/>
      <c r="O711" s="285"/>
    </row>
    <row r="712" spans="13:15" x14ac:dyDescent="0.25">
      <c r="M712" s="544"/>
      <c r="N712" s="545"/>
      <c r="O712" s="285"/>
    </row>
    <row r="713" spans="13:15" x14ac:dyDescent="0.25">
      <c r="M713" s="544"/>
      <c r="N713" s="545"/>
      <c r="O713" s="285"/>
    </row>
    <row r="714" spans="13:15" x14ac:dyDescent="0.25">
      <c r="M714" s="544"/>
      <c r="N714" s="545"/>
      <c r="O714" s="285"/>
    </row>
    <row r="715" spans="13:15" x14ac:dyDescent="0.25">
      <c r="M715" s="544"/>
      <c r="N715" s="545"/>
      <c r="O715" s="285"/>
    </row>
    <row r="716" spans="13:15" x14ac:dyDescent="0.25">
      <c r="M716" s="544"/>
      <c r="N716" s="545"/>
      <c r="O716" s="285"/>
    </row>
    <row r="717" spans="13:15" x14ac:dyDescent="0.25">
      <c r="M717" s="544"/>
      <c r="N717" s="545"/>
      <c r="O717" s="285"/>
    </row>
    <row r="718" spans="13:15" x14ac:dyDescent="0.25">
      <c r="M718" s="544"/>
      <c r="N718" s="545"/>
      <c r="O718" s="285"/>
    </row>
    <row r="719" spans="13:15" x14ac:dyDescent="0.25">
      <c r="M719" s="544"/>
      <c r="N719" s="545"/>
      <c r="O719" s="285"/>
    </row>
    <row r="720" spans="13:15" x14ac:dyDescent="0.25">
      <c r="M720" s="544"/>
      <c r="N720" s="545"/>
      <c r="O720" s="285"/>
    </row>
    <row r="721" spans="13:15" x14ac:dyDescent="0.25">
      <c r="M721" s="544"/>
      <c r="N721" s="545"/>
      <c r="O721" s="285"/>
    </row>
    <row r="722" spans="13:15" x14ac:dyDescent="0.25">
      <c r="M722" s="544"/>
      <c r="N722" s="545"/>
      <c r="O722" s="285"/>
    </row>
    <row r="723" spans="13:15" x14ac:dyDescent="0.25">
      <c r="M723" s="544"/>
      <c r="N723" s="545"/>
      <c r="O723" s="285"/>
    </row>
    <row r="724" spans="13:15" x14ac:dyDescent="0.25">
      <c r="M724" s="544"/>
      <c r="N724" s="545"/>
      <c r="O724" s="285"/>
    </row>
    <row r="725" spans="13:15" x14ac:dyDescent="0.25">
      <c r="M725" s="544"/>
      <c r="N725" s="545"/>
      <c r="O725" s="285"/>
    </row>
    <row r="726" spans="13:15" x14ac:dyDescent="0.25">
      <c r="M726" s="544"/>
      <c r="N726" s="545"/>
      <c r="O726" s="285"/>
    </row>
    <row r="727" spans="13:15" x14ac:dyDescent="0.25">
      <c r="M727" s="544"/>
      <c r="N727" s="545"/>
      <c r="O727" s="285"/>
    </row>
    <row r="728" spans="13:15" x14ac:dyDescent="0.25">
      <c r="M728" s="544"/>
      <c r="N728" s="545"/>
      <c r="O728" s="285"/>
    </row>
    <row r="729" spans="13:15" x14ac:dyDescent="0.25">
      <c r="M729" s="544"/>
      <c r="N729" s="545"/>
      <c r="O729" s="285"/>
    </row>
    <row r="730" spans="13:15" x14ac:dyDescent="0.25">
      <c r="M730" s="544"/>
      <c r="N730" s="545"/>
      <c r="O730" s="285"/>
    </row>
    <row r="731" spans="13:15" x14ac:dyDescent="0.25">
      <c r="M731" s="544"/>
      <c r="N731" s="545"/>
      <c r="O731" s="285"/>
    </row>
    <row r="732" spans="13:15" x14ac:dyDescent="0.25">
      <c r="M732" s="544"/>
      <c r="N732" s="545"/>
      <c r="O732" s="285"/>
    </row>
    <row r="733" spans="13:15" x14ac:dyDescent="0.25">
      <c r="M733" s="544"/>
      <c r="N733" s="545"/>
      <c r="O733" s="285"/>
    </row>
    <row r="734" spans="13:15" x14ac:dyDescent="0.25">
      <c r="M734" s="544"/>
      <c r="N734" s="545"/>
      <c r="O734" s="285"/>
    </row>
    <row r="735" spans="13:15" x14ac:dyDescent="0.25">
      <c r="M735" s="544"/>
      <c r="N735" s="545"/>
      <c r="O735" s="285"/>
    </row>
    <row r="736" spans="13:15" x14ac:dyDescent="0.25">
      <c r="M736" s="544"/>
      <c r="N736" s="545"/>
      <c r="O736" s="285"/>
    </row>
    <row r="737" spans="13:15" x14ac:dyDescent="0.25">
      <c r="M737" s="544"/>
      <c r="N737" s="545"/>
      <c r="O737" s="285"/>
    </row>
    <row r="738" spans="13:15" x14ac:dyDescent="0.25">
      <c r="M738" s="544"/>
      <c r="N738" s="545"/>
      <c r="O738" s="285"/>
    </row>
    <row r="739" spans="13:15" x14ac:dyDescent="0.25">
      <c r="M739" s="544"/>
      <c r="N739" s="545"/>
      <c r="O739" s="285"/>
    </row>
    <row r="740" spans="13:15" x14ac:dyDescent="0.25">
      <c r="M740" s="544"/>
      <c r="N740" s="545"/>
      <c r="O740" s="285"/>
    </row>
    <row r="741" spans="13:15" x14ac:dyDescent="0.25">
      <c r="M741" s="544"/>
      <c r="N741" s="545"/>
      <c r="O741" s="285"/>
    </row>
    <row r="742" spans="13:15" x14ac:dyDescent="0.25">
      <c r="M742" s="544"/>
      <c r="N742" s="545"/>
      <c r="O742" s="285"/>
    </row>
    <row r="743" spans="13:15" x14ac:dyDescent="0.25">
      <c r="M743" s="544"/>
      <c r="N743" s="545"/>
      <c r="O743" s="285"/>
    </row>
    <row r="744" spans="13:15" x14ac:dyDescent="0.25">
      <c r="M744" s="544"/>
      <c r="N744" s="545"/>
      <c r="O744" s="285"/>
    </row>
    <row r="745" spans="13:15" x14ac:dyDescent="0.25">
      <c r="M745" s="544"/>
      <c r="N745" s="545"/>
      <c r="O745" s="285"/>
    </row>
    <row r="746" spans="13:15" x14ac:dyDescent="0.25">
      <c r="M746" s="544"/>
      <c r="N746" s="545"/>
      <c r="O746" s="285"/>
    </row>
    <row r="747" spans="13:15" x14ac:dyDescent="0.25">
      <c r="M747" s="544"/>
      <c r="N747" s="545"/>
      <c r="O747" s="285"/>
    </row>
    <row r="748" spans="13:15" x14ac:dyDescent="0.25">
      <c r="M748" s="544"/>
      <c r="N748" s="545"/>
      <c r="O748" s="285"/>
    </row>
    <row r="749" spans="13:15" x14ac:dyDescent="0.25">
      <c r="M749" s="544"/>
      <c r="N749" s="545"/>
      <c r="O749" s="285"/>
    </row>
    <row r="750" spans="13:15" x14ac:dyDescent="0.25">
      <c r="M750" s="544"/>
      <c r="N750" s="545"/>
      <c r="O750" s="285"/>
    </row>
    <row r="751" spans="13:15" x14ac:dyDescent="0.25">
      <c r="M751" s="544"/>
      <c r="N751" s="545"/>
      <c r="O751" s="285"/>
    </row>
    <row r="752" spans="13:15" x14ac:dyDescent="0.25">
      <c r="M752" s="544"/>
      <c r="N752" s="545"/>
      <c r="O752" s="285"/>
    </row>
    <row r="753" spans="13:15" x14ac:dyDescent="0.25">
      <c r="M753" s="544"/>
      <c r="N753" s="545"/>
      <c r="O753" s="285"/>
    </row>
    <row r="754" spans="13:15" x14ac:dyDescent="0.25">
      <c r="M754" s="544"/>
      <c r="N754" s="545"/>
      <c r="O754" s="285"/>
    </row>
    <row r="755" spans="13:15" x14ac:dyDescent="0.25">
      <c r="M755" s="544"/>
      <c r="N755" s="545"/>
      <c r="O755" s="285"/>
    </row>
    <row r="756" spans="13:15" x14ac:dyDescent="0.25">
      <c r="M756" s="544"/>
      <c r="N756" s="545"/>
      <c r="O756" s="285"/>
    </row>
    <row r="757" spans="13:15" x14ac:dyDescent="0.25">
      <c r="M757" s="544"/>
      <c r="N757" s="545"/>
      <c r="O757" s="285"/>
    </row>
    <row r="758" spans="13:15" x14ac:dyDescent="0.25">
      <c r="M758" s="544"/>
      <c r="N758" s="545"/>
      <c r="O758" s="285"/>
    </row>
    <row r="759" spans="13:15" x14ac:dyDescent="0.25">
      <c r="M759" s="544"/>
      <c r="N759" s="545"/>
      <c r="O759" s="285"/>
    </row>
    <row r="760" spans="13:15" x14ac:dyDescent="0.25">
      <c r="M760" s="544"/>
      <c r="N760" s="545"/>
      <c r="O760" s="285"/>
    </row>
    <row r="761" spans="13:15" x14ac:dyDescent="0.25">
      <c r="M761" s="544"/>
      <c r="N761" s="545"/>
      <c r="O761" s="285"/>
    </row>
    <row r="762" spans="13:15" x14ac:dyDescent="0.25">
      <c r="M762" s="544"/>
      <c r="N762" s="545"/>
      <c r="O762" s="285"/>
    </row>
    <row r="763" spans="13:15" x14ac:dyDescent="0.25">
      <c r="M763" s="544"/>
      <c r="N763" s="545"/>
      <c r="O763" s="285"/>
    </row>
    <row r="764" spans="13:15" x14ac:dyDescent="0.25">
      <c r="M764" s="544"/>
      <c r="N764" s="545"/>
      <c r="O764" s="285"/>
    </row>
    <row r="765" spans="13:15" x14ac:dyDescent="0.25">
      <c r="M765" s="544"/>
      <c r="N765" s="545"/>
      <c r="O765" s="285"/>
    </row>
    <row r="766" spans="13:15" x14ac:dyDescent="0.25">
      <c r="M766" s="544"/>
      <c r="N766" s="545"/>
      <c r="O766" s="285"/>
    </row>
    <row r="767" spans="13:15" x14ac:dyDescent="0.25">
      <c r="M767" s="544"/>
      <c r="N767" s="545"/>
      <c r="O767" s="285"/>
    </row>
    <row r="768" spans="13:15" x14ac:dyDescent="0.25">
      <c r="M768" s="544"/>
      <c r="N768" s="545"/>
      <c r="O768" s="285"/>
    </row>
    <row r="769" spans="13:15" x14ac:dyDescent="0.25">
      <c r="M769" s="544"/>
      <c r="N769" s="545"/>
      <c r="O769" s="285"/>
    </row>
    <row r="770" spans="13:15" x14ac:dyDescent="0.25">
      <c r="M770" s="544"/>
      <c r="N770" s="545"/>
      <c r="O770" s="285"/>
    </row>
    <row r="771" spans="13:15" x14ac:dyDescent="0.25">
      <c r="M771" s="544"/>
      <c r="N771" s="545"/>
      <c r="O771" s="285"/>
    </row>
    <row r="772" spans="13:15" x14ac:dyDescent="0.25">
      <c r="M772" s="544"/>
      <c r="N772" s="545"/>
      <c r="O772" s="285"/>
    </row>
    <row r="773" spans="13:15" x14ac:dyDescent="0.25">
      <c r="M773" s="544"/>
      <c r="N773" s="545"/>
      <c r="O773" s="285"/>
    </row>
    <row r="774" spans="13:15" x14ac:dyDescent="0.25">
      <c r="M774" s="544"/>
      <c r="N774" s="545"/>
      <c r="O774" s="285"/>
    </row>
    <row r="775" spans="13:15" x14ac:dyDescent="0.25">
      <c r="M775" s="544"/>
      <c r="N775" s="545"/>
      <c r="O775" s="285"/>
    </row>
    <row r="776" spans="13:15" x14ac:dyDescent="0.25">
      <c r="M776" s="544"/>
      <c r="N776" s="545"/>
      <c r="O776" s="285"/>
    </row>
    <row r="777" spans="13:15" x14ac:dyDescent="0.25">
      <c r="M777" s="544"/>
      <c r="N777" s="545"/>
      <c r="O777" s="285"/>
    </row>
    <row r="778" spans="13:15" x14ac:dyDescent="0.25">
      <c r="M778" s="544"/>
      <c r="N778" s="545"/>
      <c r="O778" s="285"/>
    </row>
    <row r="779" spans="13:15" x14ac:dyDescent="0.25">
      <c r="M779" s="544"/>
      <c r="N779" s="545"/>
      <c r="O779" s="285"/>
    </row>
    <row r="780" spans="13:15" x14ac:dyDescent="0.25">
      <c r="M780" s="544"/>
      <c r="N780" s="545"/>
      <c r="O780" s="285"/>
    </row>
    <row r="781" spans="13:15" x14ac:dyDescent="0.25">
      <c r="M781" s="544"/>
      <c r="N781" s="545"/>
      <c r="O781" s="285"/>
    </row>
    <row r="782" spans="13:15" x14ac:dyDescent="0.25">
      <c r="M782" s="544"/>
      <c r="N782" s="545"/>
      <c r="O782" s="285"/>
    </row>
    <row r="783" spans="13:15" x14ac:dyDescent="0.25">
      <c r="M783" s="544"/>
      <c r="N783" s="545"/>
      <c r="O783" s="285"/>
    </row>
    <row r="784" spans="13:15" x14ac:dyDescent="0.25">
      <c r="M784" s="544"/>
      <c r="N784" s="545"/>
      <c r="O784" s="285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4" workbookViewId="0">
      <selection activeCell="C40" sqref="C40"/>
    </sheetView>
  </sheetViews>
  <sheetFormatPr defaultRowHeight="13.2" x14ac:dyDescent="0.25"/>
  <sheetData>
    <row r="3" spans="1:5" ht="13.8" x14ac:dyDescent="0.25">
      <c r="A3" s="134"/>
      <c r="B3" s="34" t="s">
        <v>128</v>
      </c>
      <c r="E3" s="3"/>
    </row>
    <row r="4" spans="1:5" x14ac:dyDescent="0.25">
      <c r="A4" s="3"/>
      <c r="B4" s="1">
        <v>78093</v>
      </c>
      <c r="D4" s="1"/>
    </row>
    <row r="5" spans="1:5" x14ac:dyDescent="0.25">
      <c r="A5" s="5" t="s">
        <v>10</v>
      </c>
      <c r="B5" s="6" t="s">
        <v>19</v>
      </c>
      <c r="C5" s="6" t="s">
        <v>20</v>
      </c>
    </row>
    <row r="6" spans="1:5" x14ac:dyDescent="0.25">
      <c r="A6" s="10">
        <v>1</v>
      </c>
      <c r="B6" s="11">
        <v>39085</v>
      </c>
      <c r="C6" s="11">
        <v>35000</v>
      </c>
      <c r="D6" s="25">
        <f>+C6-B6</f>
        <v>-4085</v>
      </c>
    </row>
    <row r="7" spans="1:5" x14ac:dyDescent="0.25">
      <c r="A7" s="10">
        <v>2</v>
      </c>
      <c r="B7" s="11">
        <v>38663</v>
      </c>
      <c r="C7" s="11">
        <v>35000</v>
      </c>
      <c r="D7" s="25">
        <f t="shared" ref="D7:D36" si="0">+C7-B7</f>
        <v>-3663</v>
      </c>
    </row>
    <row r="8" spans="1:5" x14ac:dyDescent="0.25">
      <c r="A8" s="10">
        <v>3</v>
      </c>
      <c r="B8" s="11">
        <v>38140</v>
      </c>
      <c r="C8" s="11">
        <v>35000</v>
      </c>
      <c r="D8" s="25">
        <f t="shared" si="0"/>
        <v>-3140</v>
      </c>
    </row>
    <row r="9" spans="1:5" x14ac:dyDescent="0.25">
      <c r="A9" s="10">
        <v>4</v>
      </c>
      <c r="B9" s="11">
        <v>37343</v>
      </c>
      <c r="C9" s="11">
        <v>35000</v>
      </c>
      <c r="D9" s="25">
        <f t="shared" si="0"/>
        <v>-2343</v>
      </c>
    </row>
    <row r="10" spans="1:5" x14ac:dyDescent="0.25">
      <c r="A10" s="10">
        <v>5</v>
      </c>
      <c r="B10" s="11">
        <v>26604</v>
      </c>
      <c r="C10" s="11">
        <v>35000</v>
      </c>
      <c r="D10" s="25">
        <f t="shared" si="0"/>
        <v>8396</v>
      </c>
    </row>
    <row r="11" spans="1:5" x14ac:dyDescent="0.25">
      <c r="A11" s="10">
        <v>6</v>
      </c>
      <c r="B11" s="129">
        <v>39621</v>
      </c>
      <c r="C11" s="11">
        <v>35000</v>
      </c>
      <c r="D11" s="25">
        <f t="shared" si="0"/>
        <v>-4621</v>
      </c>
    </row>
    <row r="12" spans="1:5" x14ac:dyDescent="0.25">
      <c r="A12" s="10">
        <v>7</v>
      </c>
      <c r="B12" s="129">
        <v>31916</v>
      </c>
      <c r="C12" s="11">
        <v>35000</v>
      </c>
      <c r="D12" s="25">
        <f t="shared" si="0"/>
        <v>3084</v>
      </c>
    </row>
    <row r="13" spans="1:5" x14ac:dyDescent="0.25">
      <c r="A13" s="10">
        <v>8</v>
      </c>
      <c r="B13" s="129">
        <v>39638</v>
      </c>
      <c r="C13" s="11">
        <v>35000</v>
      </c>
      <c r="D13" s="25">
        <f t="shared" si="0"/>
        <v>-4638</v>
      </c>
    </row>
    <row r="14" spans="1:5" x14ac:dyDescent="0.25">
      <c r="A14" s="10">
        <v>9</v>
      </c>
      <c r="B14" s="129">
        <v>30611</v>
      </c>
      <c r="C14" s="11">
        <v>32672</v>
      </c>
      <c r="D14" s="25">
        <f t="shared" si="0"/>
        <v>2061</v>
      </c>
    </row>
    <row r="15" spans="1:5" x14ac:dyDescent="0.25">
      <c r="A15" s="10">
        <v>10</v>
      </c>
      <c r="B15" s="129">
        <v>32135</v>
      </c>
      <c r="C15" s="11">
        <v>32539</v>
      </c>
      <c r="D15" s="25">
        <f t="shared" si="0"/>
        <v>404</v>
      </c>
    </row>
    <row r="16" spans="1:5" x14ac:dyDescent="0.25">
      <c r="A16" s="10">
        <v>11</v>
      </c>
      <c r="B16" s="129">
        <v>34655</v>
      </c>
      <c r="C16" s="11">
        <v>33600</v>
      </c>
      <c r="D16" s="25">
        <f t="shared" si="0"/>
        <v>-1055</v>
      </c>
    </row>
    <row r="17" spans="1:4" x14ac:dyDescent="0.25">
      <c r="A17" s="10">
        <v>12</v>
      </c>
      <c r="B17" s="129"/>
      <c r="C17" s="11"/>
      <c r="D17" s="25">
        <f t="shared" si="0"/>
        <v>0</v>
      </c>
    </row>
    <row r="18" spans="1:4" x14ac:dyDescent="0.25">
      <c r="A18" s="10">
        <v>13</v>
      </c>
      <c r="B18" s="129"/>
      <c r="C18" s="11"/>
      <c r="D18" s="25">
        <f t="shared" si="0"/>
        <v>0</v>
      </c>
    </row>
    <row r="19" spans="1:4" x14ac:dyDescent="0.25">
      <c r="A19" s="10">
        <v>14</v>
      </c>
      <c r="B19" s="129"/>
      <c r="C19" s="11"/>
      <c r="D19" s="25">
        <f t="shared" si="0"/>
        <v>0</v>
      </c>
    </row>
    <row r="20" spans="1:4" x14ac:dyDescent="0.25">
      <c r="A20" s="10">
        <v>15</v>
      </c>
      <c r="B20" s="129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388411</v>
      </c>
      <c r="C37" s="11">
        <f>SUM(C6:C36)</f>
        <v>378811</v>
      </c>
      <c r="D37" s="25">
        <f>SUM(D6:D36)</f>
        <v>-9600</v>
      </c>
    </row>
    <row r="38" spans="1:4" x14ac:dyDescent="0.25">
      <c r="A38" s="26"/>
      <c r="B38" s="31"/>
      <c r="C38" s="14"/>
      <c r="D38" s="326">
        <f>+summary!G5</f>
        <v>2.4900000000000002</v>
      </c>
    </row>
    <row r="39" spans="1:4" x14ac:dyDescent="0.25">
      <c r="D39" s="138">
        <f>+D38*D37</f>
        <v>-23904.000000000004</v>
      </c>
    </row>
    <row r="40" spans="1:4" x14ac:dyDescent="0.25">
      <c r="A40" s="57">
        <v>37315</v>
      </c>
      <c r="C40" s="15"/>
      <c r="D40" s="613">
        <v>166939.17000000001</v>
      </c>
    </row>
    <row r="41" spans="1:4" x14ac:dyDescent="0.25">
      <c r="A41" s="57">
        <v>37326</v>
      </c>
      <c r="C41" s="48"/>
      <c r="D41" s="138">
        <f>+D40+D39</f>
        <v>143035.17000000001</v>
      </c>
    </row>
    <row r="44" spans="1:4" x14ac:dyDescent="0.25">
      <c r="A44" s="32" t="s">
        <v>148</v>
      </c>
      <c r="B44" s="32"/>
      <c r="C44" s="32"/>
      <c r="D44" s="32"/>
    </row>
    <row r="45" spans="1:4" x14ac:dyDescent="0.25">
      <c r="A45" s="49">
        <f>+A40</f>
        <v>37315</v>
      </c>
      <c r="B45" s="32"/>
      <c r="C45" s="32"/>
      <c r="D45" s="608">
        <v>93375</v>
      </c>
    </row>
    <row r="46" spans="1:4" x14ac:dyDescent="0.25">
      <c r="A46" s="49">
        <f>+A41</f>
        <v>37326</v>
      </c>
      <c r="B46" s="32"/>
      <c r="C46" s="32"/>
      <c r="D46" s="348">
        <f>+D37</f>
        <v>-9600</v>
      </c>
    </row>
    <row r="47" spans="1:4" x14ac:dyDescent="0.25">
      <c r="A47" s="32"/>
      <c r="B47" s="32"/>
      <c r="C47" s="32"/>
      <c r="D47" s="14">
        <f>+D46+D45</f>
        <v>83775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topLeftCell="A24" workbookViewId="0">
      <selection activeCell="C40" sqref="C40"/>
    </sheetView>
  </sheetViews>
  <sheetFormatPr defaultRowHeight="13.2" x14ac:dyDescent="0.25"/>
  <sheetData>
    <row r="3" spans="1:6" ht="13.8" x14ac:dyDescent="0.25">
      <c r="A3" s="134"/>
      <c r="B3" s="34" t="s">
        <v>131</v>
      </c>
    </row>
    <row r="4" spans="1:6" x14ac:dyDescent="0.25">
      <c r="A4" s="3"/>
      <c r="B4" s="59" t="s">
        <v>132</v>
      </c>
      <c r="D4" s="1"/>
    </row>
    <row r="5" spans="1:6" x14ac:dyDescent="0.25">
      <c r="A5" s="5" t="s">
        <v>10</v>
      </c>
      <c r="B5" s="6" t="s">
        <v>19</v>
      </c>
      <c r="C5" s="6" t="s">
        <v>20</v>
      </c>
    </row>
    <row r="6" spans="1:6" x14ac:dyDescent="0.25">
      <c r="A6" s="10">
        <v>1</v>
      </c>
      <c r="B6" s="11">
        <v>62309</v>
      </c>
      <c r="C6" s="11">
        <v>62102</v>
      </c>
      <c r="D6" s="25">
        <f>+C6-B6</f>
        <v>-207</v>
      </c>
    </row>
    <row r="7" spans="1:6" x14ac:dyDescent="0.25">
      <c r="A7" s="10">
        <v>2</v>
      </c>
      <c r="B7" s="129">
        <v>50220</v>
      </c>
      <c r="C7" s="11">
        <v>49280</v>
      </c>
      <c r="D7" s="25">
        <f t="shared" ref="D7:D36" si="0">+C7-B7</f>
        <v>-940</v>
      </c>
    </row>
    <row r="8" spans="1:6" x14ac:dyDescent="0.25">
      <c r="A8" s="10">
        <v>3</v>
      </c>
      <c r="B8" s="11">
        <v>49998</v>
      </c>
      <c r="C8" s="11">
        <v>49280</v>
      </c>
      <c r="D8" s="25">
        <f t="shared" si="0"/>
        <v>-718</v>
      </c>
      <c r="F8" s="555"/>
    </row>
    <row r="9" spans="1:6" x14ac:dyDescent="0.25">
      <c r="A9" s="10">
        <v>4</v>
      </c>
      <c r="B9" s="11">
        <v>47950</v>
      </c>
      <c r="C9" s="11">
        <v>54280</v>
      </c>
      <c r="D9" s="25">
        <f t="shared" si="0"/>
        <v>6330</v>
      </c>
      <c r="F9" s="555"/>
    </row>
    <row r="10" spans="1:6" x14ac:dyDescent="0.25">
      <c r="A10" s="10">
        <v>5</v>
      </c>
      <c r="B10" s="11">
        <v>57018</v>
      </c>
      <c r="C10" s="11">
        <v>58244</v>
      </c>
      <c r="D10" s="25">
        <f t="shared" si="0"/>
        <v>1226</v>
      </c>
      <c r="F10" s="556"/>
    </row>
    <row r="11" spans="1:6" x14ac:dyDescent="0.25">
      <c r="A11" s="10">
        <v>6</v>
      </c>
      <c r="B11" s="11">
        <v>38266</v>
      </c>
      <c r="C11" s="11">
        <v>38499</v>
      </c>
      <c r="D11" s="25">
        <f t="shared" si="0"/>
        <v>233</v>
      </c>
      <c r="F11" s="556"/>
    </row>
    <row r="12" spans="1:6" x14ac:dyDescent="0.25">
      <c r="A12" s="10">
        <v>7</v>
      </c>
      <c r="B12" s="11">
        <v>39789</v>
      </c>
      <c r="C12" s="11">
        <v>41226</v>
      </c>
      <c r="D12" s="25">
        <f t="shared" si="0"/>
        <v>1437</v>
      </c>
      <c r="F12" s="556"/>
    </row>
    <row r="13" spans="1:6" x14ac:dyDescent="0.25">
      <c r="A13" s="10">
        <v>8</v>
      </c>
      <c r="B13" s="11">
        <v>47049</v>
      </c>
      <c r="C13" s="11">
        <v>45381</v>
      </c>
      <c r="D13" s="25">
        <f t="shared" si="0"/>
        <v>-1668</v>
      </c>
      <c r="F13" s="556"/>
    </row>
    <row r="14" spans="1:6" x14ac:dyDescent="0.25">
      <c r="A14" s="10">
        <v>9</v>
      </c>
      <c r="B14" s="11">
        <v>33373</v>
      </c>
      <c r="C14" s="11">
        <v>31588</v>
      </c>
      <c r="D14" s="25">
        <f t="shared" si="0"/>
        <v>-1785</v>
      </c>
    </row>
    <row r="15" spans="1:6" x14ac:dyDescent="0.25">
      <c r="A15" s="10">
        <v>10</v>
      </c>
      <c r="B15" s="11">
        <v>40278</v>
      </c>
      <c r="C15" s="11">
        <v>35729</v>
      </c>
      <c r="D15" s="25">
        <f t="shared" si="0"/>
        <v>-4549</v>
      </c>
    </row>
    <row r="16" spans="1:6" x14ac:dyDescent="0.25">
      <c r="A16" s="10">
        <v>11</v>
      </c>
      <c r="B16" s="11">
        <v>33622</v>
      </c>
      <c r="C16" s="11">
        <v>33099</v>
      </c>
      <c r="D16" s="25">
        <f t="shared" si="0"/>
        <v>-523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29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499872</v>
      </c>
      <c r="C37" s="11">
        <f>SUM(C6:C36)</f>
        <v>498708</v>
      </c>
      <c r="D37" s="25">
        <f>SUM(D6:D36)</f>
        <v>-1164</v>
      </c>
    </row>
    <row r="38" spans="1:4" x14ac:dyDescent="0.25">
      <c r="A38" s="26"/>
      <c r="C38" s="14"/>
      <c r="D38" s="326">
        <f>+summary!G5</f>
        <v>2.4900000000000002</v>
      </c>
    </row>
    <row r="39" spans="1:4" x14ac:dyDescent="0.25">
      <c r="D39" s="138">
        <f>+D38*D37</f>
        <v>-2898.36</v>
      </c>
    </row>
    <row r="40" spans="1:4" x14ac:dyDescent="0.25">
      <c r="A40" s="57">
        <v>37315</v>
      </c>
      <c r="C40" s="15"/>
      <c r="D40" s="579">
        <v>9003</v>
      </c>
    </row>
    <row r="41" spans="1:4" x14ac:dyDescent="0.25">
      <c r="A41" s="57">
        <v>37326</v>
      </c>
      <c r="C41" s="48"/>
      <c r="D41" s="138">
        <f>+D40+D39</f>
        <v>6104.6399999999994</v>
      </c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37315</v>
      </c>
      <c r="B46" s="32"/>
      <c r="C46" s="32"/>
      <c r="D46" s="576">
        <v>4076</v>
      </c>
    </row>
    <row r="47" spans="1:4" x14ac:dyDescent="0.25">
      <c r="A47" s="49">
        <f>+A41</f>
        <v>37326</v>
      </c>
      <c r="B47" s="32"/>
      <c r="C47" s="32"/>
      <c r="D47" s="348">
        <f>+D37</f>
        <v>-1164</v>
      </c>
    </row>
    <row r="48" spans="1:4" x14ac:dyDescent="0.25">
      <c r="A48" s="32"/>
      <c r="B48" s="32"/>
      <c r="C48" s="32"/>
      <c r="D48" s="14">
        <f>+D47+D46</f>
        <v>2912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31" workbookViewId="0">
      <selection activeCell="C17" sqref="C17"/>
    </sheetView>
  </sheetViews>
  <sheetFormatPr defaultRowHeight="13.2" x14ac:dyDescent="0.25"/>
  <cols>
    <col min="9" max="9" width="9.33203125" bestFit="1" customWidth="1"/>
    <col min="13" max="13" width="12.33203125" bestFit="1" customWidth="1"/>
    <col min="15" max="15" width="12.33203125" bestFit="1" customWidth="1"/>
  </cols>
  <sheetData>
    <row r="3" spans="1:13" ht="13.8" x14ac:dyDescent="0.25">
      <c r="A3" s="134"/>
      <c r="B3" s="3" t="s">
        <v>133</v>
      </c>
      <c r="C3" s="87"/>
      <c r="D3" s="87"/>
      <c r="E3" s="87"/>
    </row>
    <row r="4" spans="1:13" x14ac:dyDescent="0.25">
      <c r="A4" s="3"/>
      <c r="B4" s="328" t="s">
        <v>134</v>
      </c>
      <c r="C4" s="87"/>
      <c r="D4" s="3"/>
      <c r="E4" s="87"/>
    </row>
    <row r="5" spans="1:13" x14ac:dyDescent="0.25">
      <c r="A5" s="5" t="s">
        <v>10</v>
      </c>
      <c r="B5" s="6" t="s">
        <v>19</v>
      </c>
      <c r="C5" s="6" t="s">
        <v>20</v>
      </c>
    </row>
    <row r="6" spans="1:13" x14ac:dyDescent="0.25">
      <c r="A6" s="10">
        <v>1</v>
      </c>
      <c r="B6" s="11">
        <v>-526</v>
      </c>
      <c r="C6" s="11">
        <v>-1038</v>
      </c>
      <c r="D6" s="25">
        <f>+C6-B6</f>
        <v>-512</v>
      </c>
    </row>
    <row r="7" spans="1:13" x14ac:dyDescent="0.25">
      <c r="A7" s="10">
        <v>2</v>
      </c>
      <c r="B7" s="11">
        <v>-631</v>
      </c>
      <c r="C7" s="11">
        <v>-1038</v>
      </c>
      <c r="D7" s="25">
        <f t="shared" ref="D7:D36" si="0">+C7-B7</f>
        <v>-407</v>
      </c>
    </row>
    <row r="8" spans="1:13" x14ac:dyDescent="0.25">
      <c r="A8" s="10">
        <v>3</v>
      </c>
      <c r="B8" s="11">
        <v>-1354</v>
      </c>
      <c r="C8" s="11">
        <v>-1038</v>
      </c>
      <c r="D8" s="25">
        <f t="shared" si="0"/>
        <v>316</v>
      </c>
    </row>
    <row r="9" spans="1:13" x14ac:dyDescent="0.25">
      <c r="A9" s="10">
        <v>4</v>
      </c>
      <c r="B9" s="11">
        <v>-1885</v>
      </c>
      <c r="C9" s="11">
        <v>-1038</v>
      </c>
      <c r="D9" s="25">
        <f t="shared" si="0"/>
        <v>847</v>
      </c>
    </row>
    <row r="10" spans="1:13" x14ac:dyDescent="0.25">
      <c r="A10" s="10">
        <v>5</v>
      </c>
      <c r="B10" s="11">
        <v>-2002</v>
      </c>
      <c r="C10" s="11">
        <v>-1038</v>
      </c>
      <c r="D10" s="25">
        <f t="shared" si="0"/>
        <v>964</v>
      </c>
    </row>
    <row r="11" spans="1:13" x14ac:dyDescent="0.25">
      <c r="A11" s="10">
        <v>6</v>
      </c>
      <c r="B11" s="11">
        <v>-1601</v>
      </c>
      <c r="C11" s="11">
        <v>-1038</v>
      </c>
      <c r="D11" s="25">
        <f t="shared" si="0"/>
        <v>563</v>
      </c>
    </row>
    <row r="12" spans="1:13" x14ac:dyDescent="0.25">
      <c r="A12" s="10">
        <v>7</v>
      </c>
      <c r="B12" s="11">
        <v>-529</v>
      </c>
      <c r="C12" s="11">
        <v>-1038</v>
      </c>
      <c r="D12" s="25">
        <f t="shared" si="0"/>
        <v>-509</v>
      </c>
    </row>
    <row r="13" spans="1:13" x14ac:dyDescent="0.25">
      <c r="A13" s="10">
        <v>8</v>
      </c>
      <c r="B13" s="11">
        <v>-551</v>
      </c>
      <c r="C13" s="11">
        <v>-1038</v>
      </c>
      <c r="D13" s="25">
        <f t="shared" si="0"/>
        <v>-487</v>
      </c>
      <c r="H13" s="118"/>
      <c r="I13" s="34"/>
      <c r="J13" s="34"/>
      <c r="K13" s="189"/>
      <c r="L13" s="410" t="s">
        <v>173</v>
      </c>
      <c r="M13" s="189"/>
    </row>
    <row r="14" spans="1:13" x14ac:dyDescent="0.25">
      <c r="A14" s="10">
        <v>9</v>
      </c>
      <c r="B14" s="11">
        <v>-645</v>
      </c>
      <c r="C14" s="11">
        <v>-1038</v>
      </c>
      <c r="D14" s="25">
        <f t="shared" si="0"/>
        <v>-393</v>
      </c>
      <c r="H14" s="118" t="s">
        <v>39</v>
      </c>
      <c r="I14" s="411" t="s">
        <v>19</v>
      </c>
      <c r="J14" s="411" t="s">
        <v>20</v>
      </c>
      <c r="K14" s="412" t="s">
        <v>49</v>
      </c>
      <c r="L14" s="410" t="s">
        <v>15</v>
      </c>
      <c r="M14" s="189" t="s">
        <v>27</v>
      </c>
    </row>
    <row r="15" spans="1:13" x14ac:dyDescent="0.25">
      <c r="A15" s="10">
        <v>10</v>
      </c>
      <c r="B15" s="11">
        <v>-1577</v>
      </c>
      <c r="C15" s="11">
        <v>-1038</v>
      </c>
      <c r="D15" s="25">
        <f t="shared" si="0"/>
        <v>539</v>
      </c>
      <c r="H15" s="34"/>
      <c r="I15" s="34"/>
      <c r="J15" s="34"/>
      <c r="K15" s="34"/>
      <c r="L15" s="34"/>
      <c r="M15" s="34"/>
    </row>
    <row r="16" spans="1:13" x14ac:dyDescent="0.25">
      <c r="A16" s="10">
        <v>11</v>
      </c>
      <c r="B16" s="11">
        <v>-1931</v>
      </c>
      <c r="C16" s="11">
        <v>-1038</v>
      </c>
      <c r="D16" s="25">
        <f t="shared" si="0"/>
        <v>893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0">
        <v>8.2100000000000009</v>
      </c>
      <c r="M16" s="415">
        <f t="shared" ref="M16:M22" si="2">+L16*K16</f>
        <v>-148748.78000000003</v>
      </c>
    </row>
    <row r="17" spans="1:15" x14ac:dyDescent="0.25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0">
        <v>5.62</v>
      </c>
      <c r="M17" s="415">
        <f t="shared" si="2"/>
        <v>-91100.2</v>
      </c>
    </row>
    <row r="18" spans="1:15" x14ac:dyDescent="0.25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0">
        <v>4.9800000000000004</v>
      </c>
      <c r="M18" s="415">
        <f t="shared" si="2"/>
        <v>-118748.1</v>
      </c>
    </row>
    <row r="19" spans="1:15" x14ac:dyDescent="0.25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0">
        <v>4.87</v>
      </c>
      <c r="M19" s="415">
        <f t="shared" si="2"/>
        <v>63012.93</v>
      </c>
      <c r="O19" s="259"/>
    </row>
    <row r="20" spans="1:15" x14ac:dyDescent="0.25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0">
        <v>3.82</v>
      </c>
      <c r="M20" s="415">
        <f t="shared" si="2"/>
        <v>32531.119999999999</v>
      </c>
    </row>
    <row r="21" spans="1:15" x14ac:dyDescent="0.25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0">
        <v>3.2</v>
      </c>
      <c r="M21" s="415">
        <f t="shared" si="2"/>
        <v>-47644.800000000003</v>
      </c>
    </row>
    <row r="22" spans="1:15" x14ac:dyDescent="0.25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0">
        <v>2.77</v>
      </c>
      <c r="M22" s="416">
        <f t="shared" si="2"/>
        <v>-43139.98</v>
      </c>
    </row>
    <row r="23" spans="1:15" ht="13.8" thickBot="1" x14ac:dyDescent="0.3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13"/>
      <c r="M23" s="414">
        <f>SUM(M16:M22)</f>
        <v>-353837.81000000006</v>
      </c>
      <c r="O23" s="259"/>
    </row>
    <row r="24" spans="1:15" ht="13.8" thickTop="1" x14ac:dyDescent="0.25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5">
      <c r="A25" s="10">
        <v>20</v>
      </c>
      <c r="B25" s="11"/>
      <c r="C25" s="11"/>
      <c r="D25" s="25">
        <f t="shared" si="0"/>
        <v>0</v>
      </c>
    </row>
    <row r="26" spans="1:15" x14ac:dyDescent="0.25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5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5">
      <c r="A28" s="10">
        <v>23</v>
      </c>
      <c r="B28" s="11"/>
      <c r="C28" s="11"/>
      <c r="D28" s="25">
        <f t="shared" si="0"/>
        <v>0</v>
      </c>
    </row>
    <row r="29" spans="1:15" x14ac:dyDescent="0.25">
      <c r="A29" s="10">
        <v>24</v>
      </c>
      <c r="B29" s="11"/>
      <c r="C29" s="11"/>
      <c r="D29" s="25">
        <f t="shared" si="0"/>
        <v>0</v>
      </c>
    </row>
    <row r="30" spans="1:15" x14ac:dyDescent="0.25">
      <c r="A30" s="10">
        <v>25</v>
      </c>
      <c r="B30" s="11"/>
      <c r="C30" s="11"/>
      <c r="D30" s="25">
        <f t="shared" si="0"/>
        <v>0</v>
      </c>
    </row>
    <row r="31" spans="1:15" x14ac:dyDescent="0.25">
      <c r="A31" s="10">
        <v>26</v>
      </c>
      <c r="B31" s="11"/>
      <c r="C31" s="11"/>
      <c r="D31" s="25">
        <f t="shared" si="0"/>
        <v>0</v>
      </c>
    </row>
    <row r="32" spans="1:15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-13232</v>
      </c>
      <c r="C37" s="11">
        <f>SUM(C6:C36)</f>
        <v>-11418</v>
      </c>
      <c r="D37" s="25">
        <f>SUM(D6:D36)</f>
        <v>1814</v>
      </c>
    </row>
    <row r="38" spans="1:4" x14ac:dyDescent="0.25">
      <c r="A38" s="26"/>
      <c r="C38" s="14"/>
      <c r="D38" s="326">
        <f>+summary!G4</f>
        <v>2.48</v>
      </c>
    </row>
    <row r="39" spans="1:4" x14ac:dyDescent="0.25">
      <c r="D39" s="138">
        <f>+D38*D37</f>
        <v>4498.72</v>
      </c>
    </row>
    <row r="40" spans="1:4" x14ac:dyDescent="0.25">
      <c r="A40" s="57">
        <v>37315</v>
      </c>
      <c r="C40" s="15"/>
      <c r="D40" s="613">
        <v>-254200.98</v>
      </c>
    </row>
    <row r="41" spans="1:4" x14ac:dyDescent="0.25">
      <c r="A41" s="57">
        <v>37326</v>
      </c>
      <c r="C41" s="48"/>
      <c r="D41" s="138">
        <f>+D40+D39</f>
        <v>-249702.26</v>
      </c>
    </row>
    <row r="47" spans="1:4" x14ac:dyDescent="0.25">
      <c r="A47" s="32" t="s">
        <v>148</v>
      </c>
      <c r="B47" s="32"/>
      <c r="C47" s="32"/>
      <c r="D47" s="32"/>
    </row>
    <row r="48" spans="1:4" x14ac:dyDescent="0.25">
      <c r="A48" s="49">
        <f>+A40</f>
        <v>37315</v>
      </c>
      <c r="B48" s="32"/>
      <c r="C48" s="32"/>
      <c r="D48" s="608">
        <v>3963</v>
      </c>
    </row>
    <row r="49" spans="1:4" x14ac:dyDescent="0.25">
      <c r="A49" s="49">
        <f>+A41</f>
        <v>37326</v>
      </c>
      <c r="B49" s="32"/>
      <c r="C49" s="32"/>
      <c r="D49" s="348">
        <f>+D37</f>
        <v>1814</v>
      </c>
    </row>
    <row r="50" spans="1:4" x14ac:dyDescent="0.25">
      <c r="A50" s="32"/>
      <c r="B50" s="32"/>
      <c r="C50" s="32"/>
      <c r="D50" s="14">
        <f>+D49+D48</f>
        <v>5777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8" workbookViewId="0">
      <selection activeCell="C39" sqref="C39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139</v>
      </c>
      <c r="C3" s="87"/>
      <c r="D3" s="87"/>
    </row>
    <row r="4" spans="1:4" x14ac:dyDescent="0.25">
      <c r="A4" s="3"/>
      <c r="B4" s="328" t="s">
        <v>136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-34078</v>
      </c>
      <c r="C6" s="11">
        <v>-40000</v>
      </c>
      <c r="D6" s="25">
        <f>+C6-B6</f>
        <v>-5922</v>
      </c>
    </row>
    <row r="7" spans="1:4" x14ac:dyDescent="0.25">
      <c r="A7" s="10">
        <v>2</v>
      </c>
      <c r="B7" s="11">
        <v>-35189</v>
      </c>
      <c r="C7" s="11">
        <v>-33000</v>
      </c>
      <c r="D7" s="25">
        <f t="shared" ref="D7:D36" si="0">+C7-B7</f>
        <v>2189</v>
      </c>
    </row>
    <row r="8" spans="1:4" x14ac:dyDescent="0.25">
      <c r="A8" s="10">
        <v>3</v>
      </c>
      <c r="B8" s="129">
        <v>-29296</v>
      </c>
      <c r="C8" s="11">
        <v>-34000</v>
      </c>
      <c r="D8" s="25">
        <f t="shared" si="0"/>
        <v>-4704</v>
      </c>
    </row>
    <row r="9" spans="1:4" x14ac:dyDescent="0.25">
      <c r="A9" s="10">
        <v>4</v>
      </c>
      <c r="B9" s="129">
        <v>-36491</v>
      </c>
      <c r="C9" s="11">
        <v>-35000</v>
      </c>
      <c r="D9" s="25">
        <f t="shared" si="0"/>
        <v>1491</v>
      </c>
    </row>
    <row r="10" spans="1:4" x14ac:dyDescent="0.25">
      <c r="A10" s="10">
        <v>5</v>
      </c>
      <c r="B10" s="129">
        <v>-38539</v>
      </c>
      <c r="C10" s="11">
        <v>-36000</v>
      </c>
      <c r="D10" s="25">
        <f t="shared" si="0"/>
        <v>2539</v>
      </c>
    </row>
    <row r="11" spans="1:4" x14ac:dyDescent="0.25">
      <c r="A11" s="10">
        <v>6</v>
      </c>
      <c r="B11" s="129">
        <v>-38020</v>
      </c>
      <c r="C11" s="11">
        <v>-38500</v>
      </c>
      <c r="D11" s="25">
        <f t="shared" si="0"/>
        <v>-480</v>
      </c>
    </row>
    <row r="12" spans="1:4" x14ac:dyDescent="0.25">
      <c r="A12" s="10">
        <v>7</v>
      </c>
      <c r="B12" s="129">
        <v>-35739</v>
      </c>
      <c r="C12" s="11">
        <v>-36000</v>
      </c>
      <c r="D12" s="25">
        <f t="shared" si="0"/>
        <v>-261</v>
      </c>
    </row>
    <row r="13" spans="1:4" x14ac:dyDescent="0.25">
      <c r="A13" s="10">
        <v>8</v>
      </c>
      <c r="B13" s="11">
        <v>-33997</v>
      </c>
      <c r="C13" s="11">
        <v>-38000</v>
      </c>
      <c r="D13" s="25">
        <f t="shared" si="0"/>
        <v>-4003</v>
      </c>
    </row>
    <row r="14" spans="1:4" x14ac:dyDescent="0.25">
      <c r="A14" s="10">
        <v>9</v>
      </c>
      <c r="B14" s="11">
        <v>-33413</v>
      </c>
      <c r="C14" s="11">
        <v>-31000</v>
      </c>
      <c r="D14" s="25">
        <f t="shared" si="0"/>
        <v>2413</v>
      </c>
    </row>
    <row r="15" spans="1:4" x14ac:dyDescent="0.25">
      <c r="A15" s="10">
        <v>10</v>
      </c>
      <c r="B15" s="11">
        <v>-31014</v>
      </c>
      <c r="C15" s="11">
        <v>-32500</v>
      </c>
      <c r="D15" s="25">
        <f t="shared" si="0"/>
        <v>-1486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-345776</v>
      </c>
      <c r="C37" s="11">
        <f>SUM(C6:C36)</f>
        <v>-354000</v>
      </c>
      <c r="D37" s="25">
        <f>SUM(D6:D36)</f>
        <v>-8224</v>
      </c>
    </row>
    <row r="38" spans="1:4" x14ac:dyDescent="0.25">
      <c r="A38" s="26"/>
      <c r="C38" s="14"/>
      <c r="D38" s="326">
        <f>+summary!G4</f>
        <v>2.48</v>
      </c>
    </row>
    <row r="39" spans="1:4" x14ac:dyDescent="0.25">
      <c r="D39" s="138">
        <f>+D38*D37</f>
        <v>-20395.52</v>
      </c>
    </row>
    <row r="40" spans="1:4" x14ac:dyDescent="0.25">
      <c r="A40" s="57">
        <v>37315</v>
      </c>
      <c r="C40" s="15"/>
      <c r="D40" s="613">
        <v>61873.66</v>
      </c>
    </row>
    <row r="41" spans="1:4" x14ac:dyDescent="0.25">
      <c r="A41" s="57">
        <v>37325</v>
      </c>
      <c r="C41" s="48"/>
      <c r="D41" s="138">
        <f>+D40+D39</f>
        <v>41478.14</v>
      </c>
    </row>
    <row r="42" spans="1:4" x14ac:dyDescent="0.25">
      <c r="D42" s="24"/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37315</v>
      </c>
      <c r="B46" s="32"/>
      <c r="C46" s="32"/>
      <c r="D46" s="608">
        <v>33068</v>
      </c>
    </row>
    <row r="47" spans="1:4" x14ac:dyDescent="0.25">
      <c r="A47" s="49">
        <f>+A41</f>
        <v>37325</v>
      </c>
      <c r="B47" s="32"/>
      <c r="C47" s="32"/>
      <c r="D47" s="348">
        <f>+D37</f>
        <v>-8224</v>
      </c>
    </row>
    <row r="48" spans="1:4" x14ac:dyDescent="0.25">
      <c r="A48" s="32"/>
      <c r="B48" s="32"/>
      <c r="C48" s="32"/>
      <c r="D48" s="14">
        <f>+D47+D46</f>
        <v>24844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>
      <selection activeCell="C6" sqref="C6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135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56659</v>
      </c>
      <c r="B5" s="323"/>
      <c r="C5" s="90">
        <v>-1260</v>
      </c>
      <c r="D5" s="90">
        <f>+C5-B5</f>
        <v>-1260</v>
      </c>
      <c r="E5" s="275"/>
      <c r="F5" s="273"/>
    </row>
    <row r="6" spans="1:13" x14ac:dyDescent="0.25">
      <c r="A6" s="87">
        <v>500046</v>
      </c>
      <c r="B6" s="90">
        <f>-4619-297-218</f>
        <v>-5134</v>
      </c>
      <c r="C6" s="90"/>
      <c r="D6" s="90">
        <f t="shared" ref="D6:D11" si="0">+C6-B6</f>
        <v>5134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5">
      <c r="A8" s="87">
        <v>500134</v>
      </c>
      <c r="B8" s="92">
        <f>-8446-547</f>
        <v>-8993</v>
      </c>
      <c r="C8" s="90">
        <v>-17120</v>
      </c>
      <c r="D8" s="90">
        <f t="shared" si="0"/>
        <v>-8127</v>
      </c>
      <c r="E8" s="275"/>
      <c r="F8" s="273"/>
    </row>
    <row r="9" spans="1:13" x14ac:dyDescent="0.25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5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5">
      <c r="A11" s="87">
        <v>500619</v>
      </c>
      <c r="B11" s="305"/>
      <c r="C11" s="90"/>
      <c r="D11" s="333">
        <f t="shared" si="0"/>
        <v>0</v>
      </c>
      <c r="E11" s="275"/>
      <c r="F11" s="273"/>
    </row>
    <row r="12" spans="1:13" x14ac:dyDescent="0.25">
      <c r="A12" s="87"/>
      <c r="B12" s="88"/>
      <c r="C12" s="88"/>
      <c r="D12" s="88">
        <f>SUM(D5:D11)</f>
        <v>-4253</v>
      </c>
      <c r="E12" s="275"/>
      <c r="F12" s="273"/>
    </row>
    <row r="13" spans="1:13" x14ac:dyDescent="0.25">
      <c r="A13" s="87" t="s">
        <v>81</v>
      </c>
      <c r="B13" s="88"/>
      <c r="C13" s="88"/>
      <c r="D13" s="95">
        <f>+summary!G4</f>
        <v>2.48</v>
      </c>
      <c r="E13" s="277"/>
      <c r="F13" s="273"/>
    </row>
    <row r="14" spans="1:13" x14ac:dyDescent="0.25">
      <c r="A14" s="87"/>
      <c r="B14" s="88"/>
      <c r="C14" s="88"/>
      <c r="D14" s="96">
        <f>+D13*D12</f>
        <v>-10547.44</v>
      </c>
      <c r="E14" s="207"/>
      <c r="F14" s="274"/>
    </row>
    <row r="15" spans="1:13" x14ac:dyDescent="0.25">
      <c r="A15" s="87"/>
      <c r="B15" s="88"/>
      <c r="C15" s="88"/>
      <c r="D15" s="96"/>
      <c r="E15" s="207"/>
      <c r="F15" s="74"/>
    </row>
    <row r="16" spans="1:13" x14ac:dyDescent="0.25">
      <c r="A16" s="99">
        <v>37315</v>
      </c>
      <c r="B16" s="88"/>
      <c r="C16" s="88"/>
      <c r="D16" s="514">
        <v>-577834.68999999994</v>
      </c>
      <c r="E16" s="207"/>
      <c r="F16" s="66"/>
    </row>
    <row r="17" spans="1:7" x14ac:dyDescent="0.25">
      <c r="A17" s="87"/>
      <c r="B17" s="88"/>
      <c r="C17" s="88"/>
      <c r="D17" s="308"/>
      <c r="E17" s="207"/>
      <c r="F17" s="66"/>
    </row>
    <row r="18" spans="1:7" ht="13.8" thickBot="1" x14ac:dyDescent="0.3">
      <c r="A18" s="99">
        <v>37325</v>
      </c>
      <c r="B18" s="88"/>
      <c r="C18" s="88"/>
      <c r="D18" s="318">
        <f>+D16+D14</f>
        <v>-588382.12999999989</v>
      </c>
      <c r="E18" s="207"/>
      <c r="F18" s="66"/>
    </row>
    <row r="19" spans="1:7" ht="13.8" thickTop="1" x14ac:dyDescent="0.25">
      <c r="E19" s="278"/>
    </row>
    <row r="21" spans="1:7" x14ac:dyDescent="0.25">
      <c r="A21" s="32" t="s">
        <v>148</v>
      </c>
      <c r="B21" s="32"/>
      <c r="C21" s="32"/>
      <c r="D21" s="32"/>
    </row>
    <row r="22" spans="1:7" x14ac:dyDescent="0.25">
      <c r="A22" s="49">
        <f>+A16</f>
        <v>37315</v>
      </c>
      <c r="B22" s="32"/>
      <c r="C22" s="32"/>
      <c r="D22" s="608">
        <v>-55913</v>
      </c>
    </row>
    <row r="23" spans="1:7" x14ac:dyDescent="0.25">
      <c r="A23" s="49"/>
      <c r="B23" s="32"/>
      <c r="C23" s="32"/>
      <c r="D23" s="348">
        <f>+D12</f>
        <v>-4253</v>
      </c>
    </row>
    <row r="24" spans="1:7" x14ac:dyDescent="0.25">
      <c r="A24" s="49">
        <f>+A18</f>
        <v>37325</v>
      </c>
      <c r="B24" s="32"/>
      <c r="C24" s="32"/>
      <c r="D24" s="14">
        <f>+D23+D22</f>
        <v>-60166</v>
      </c>
      <c r="E24" s="343"/>
    </row>
    <row r="25" spans="1:7" x14ac:dyDescent="0.25">
      <c r="A25" s="139"/>
      <c r="B25" s="119"/>
      <c r="C25" s="140"/>
      <c r="D25" s="14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201">
        <f>+D18/D24</f>
        <v>9.7793127347671422</v>
      </c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5" workbookViewId="0">
      <selection activeCell="C39" sqref="C39"/>
    </sheetView>
  </sheetViews>
  <sheetFormatPr defaultRowHeight="13.2" x14ac:dyDescent="0.25"/>
  <cols>
    <col min="2" max="3" width="9.5546875" bestFit="1" customWidth="1"/>
  </cols>
  <sheetData>
    <row r="3" spans="1:4" ht="13.8" x14ac:dyDescent="0.25">
      <c r="A3" s="134"/>
      <c r="B3" s="34" t="s">
        <v>141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-25763</v>
      </c>
      <c r="C6" s="11">
        <v>-20490</v>
      </c>
      <c r="D6" s="25">
        <f>+C6-B6</f>
        <v>5273</v>
      </c>
    </row>
    <row r="7" spans="1:4" x14ac:dyDescent="0.25">
      <c r="A7" s="10">
        <v>2</v>
      </c>
      <c r="B7" s="11">
        <v>-50011</v>
      </c>
      <c r="C7" s="11">
        <v>-52345</v>
      </c>
      <c r="D7" s="25">
        <f t="shared" ref="D7:D36" si="0">+C7-B7</f>
        <v>-2334</v>
      </c>
    </row>
    <row r="8" spans="1:4" x14ac:dyDescent="0.25">
      <c r="A8" s="10">
        <v>3</v>
      </c>
      <c r="B8" s="11">
        <v>-52259</v>
      </c>
      <c r="C8" s="11">
        <v>-52345</v>
      </c>
      <c r="D8" s="25">
        <f t="shared" si="0"/>
        <v>-86</v>
      </c>
    </row>
    <row r="9" spans="1:4" x14ac:dyDescent="0.25">
      <c r="A9" s="10">
        <v>4</v>
      </c>
      <c r="B9" s="129">
        <v>-52407</v>
      </c>
      <c r="C9" s="11">
        <v>-52345</v>
      </c>
      <c r="D9" s="25">
        <f t="shared" si="0"/>
        <v>62</v>
      </c>
    </row>
    <row r="10" spans="1:4" x14ac:dyDescent="0.25">
      <c r="A10" s="10">
        <v>5</v>
      </c>
      <c r="B10" s="11">
        <v>-37005</v>
      </c>
      <c r="C10" s="11">
        <v>-29116</v>
      </c>
      <c r="D10" s="25">
        <f t="shared" si="0"/>
        <v>7889</v>
      </c>
    </row>
    <row r="11" spans="1:4" x14ac:dyDescent="0.25">
      <c r="A11" s="10">
        <v>6</v>
      </c>
      <c r="B11" s="11">
        <v>-14185</v>
      </c>
      <c r="C11" s="11">
        <v>-7970</v>
      </c>
      <c r="D11" s="25">
        <f t="shared" si="0"/>
        <v>6215</v>
      </c>
    </row>
    <row r="12" spans="1:4" x14ac:dyDescent="0.25">
      <c r="A12" s="10">
        <v>7</v>
      </c>
      <c r="B12" s="11">
        <v>-25788</v>
      </c>
      <c r="C12" s="11">
        <v>-25810</v>
      </c>
      <c r="D12" s="25">
        <f t="shared" si="0"/>
        <v>-22</v>
      </c>
    </row>
    <row r="13" spans="1:4" x14ac:dyDescent="0.25">
      <c r="A13" s="10">
        <v>8</v>
      </c>
      <c r="B13" s="11">
        <v>-21508</v>
      </c>
      <c r="C13" s="11">
        <v>-13646</v>
      </c>
      <c r="D13" s="25">
        <f t="shared" si="0"/>
        <v>7862</v>
      </c>
    </row>
    <row r="14" spans="1:4" x14ac:dyDescent="0.25">
      <c r="A14" s="10">
        <v>9</v>
      </c>
      <c r="B14" s="11">
        <v>-72478</v>
      </c>
      <c r="C14" s="11">
        <v>-80000</v>
      </c>
      <c r="D14" s="25">
        <f t="shared" si="0"/>
        <v>-7522</v>
      </c>
    </row>
    <row r="15" spans="1:4" x14ac:dyDescent="0.25">
      <c r="A15" s="10">
        <v>10</v>
      </c>
      <c r="B15" s="11">
        <v>-72964</v>
      </c>
      <c r="C15" s="11">
        <v>-80000</v>
      </c>
      <c r="D15" s="25">
        <f t="shared" si="0"/>
        <v>-7036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29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29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-424368</v>
      </c>
      <c r="C37" s="11">
        <f>SUM(C6:C36)</f>
        <v>-414067</v>
      </c>
      <c r="D37" s="25">
        <f>SUM(D6:D36)</f>
        <v>10301</v>
      </c>
    </row>
    <row r="38" spans="1:4" x14ac:dyDescent="0.25">
      <c r="A38" s="26"/>
      <c r="C38" s="14"/>
      <c r="D38" s="338"/>
    </row>
    <row r="39" spans="1:4" x14ac:dyDescent="0.25">
      <c r="D39" s="138"/>
    </row>
    <row r="40" spans="1:4" x14ac:dyDescent="0.25">
      <c r="A40" s="57">
        <v>37315</v>
      </c>
      <c r="C40" s="15"/>
      <c r="D40" s="595">
        <f>-22463+19592</f>
        <v>-2871</v>
      </c>
    </row>
    <row r="41" spans="1:4" x14ac:dyDescent="0.25">
      <c r="A41" s="57">
        <v>37325</v>
      </c>
      <c r="C41" s="48"/>
      <c r="D41" s="25">
        <f>+D40+D37</f>
        <v>7430</v>
      </c>
    </row>
    <row r="44" spans="1:4" x14ac:dyDescent="0.25">
      <c r="A44" s="32" t="s">
        <v>149</v>
      </c>
      <c r="B44" s="32"/>
      <c r="C44" s="32"/>
      <c r="D44" s="47"/>
    </row>
    <row r="45" spans="1:4" x14ac:dyDescent="0.25">
      <c r="A45" s="49">
        <f>+A40</f>
        <v>37315</v>
      </c>
      <c r="B45" s="32"/>
      <c r="C45" s="32"/>
      <c r="D45" s="482">
        <v>154736</v>
      </c>
    </row>
    <row r="46" spans="1:4" x14ac:dyDescent="0.25">
      <c r="A46" s="49">
        <f>+A41</f>
        <v>37325</v>
      </c>
      <c r="B46" s="32"/>
      <c r="C46" s="32"/>
      <c r="D46" s="373">
        <f>+D37*'by type_area'!G4</f>
        <v>25546.48</v>
      </c>
    </row>
    <row r="47" spans="1:4" x14ac:dyDescent="0.25">
      <c r="A47" s="32"/>
      <c r="B47" s="32"/>
      <c r="C47" s="32"/>
      <c r="D47" s="200">
        <f>+D46+D45</f>
        <v>180282.48</v>
      </c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1" workbookViewId="0">
      <selection activeCell="D40" sqref="D40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239</v>
      </c>
      <c r="C3" s="87"/>
      <c r="D3" s="87"/>
    </row>
    <row r="4" spans="1:4" x14ac:dyDescent="0.25">
      <c r="A4" s="3"/>
      <c r="B4" s="328" t="s">
        <v>238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5">
      <c r="A38" s="26"/>
      <c r="C38" s="14"/>
      <c r="D38" s="326">
        <f>+summary!G5</f>
        <v>2.4900000000000002</v>
      </c>
    </row>
    <row r="39" spans="1:4" x14ac:dyDescent="0.25">
      <c r="D39" s="138">
        <f>+D38*D37</f>
        <v>0</v>
      </c>
    </row>
    <row r="40" spans="1:4" x14ac:dyDescent="0.25">
      <c r="A40" s="57">
        <v>37315</v>
      </c>
      <c r="C40" s="15"/>
      <c r="D40" s="613">
        <v>-191635</v>
      </c>
    </row>
    <row r="41" spans="1:4" x14ac:dyDescent="0.25">
      <c r="A41" s="57">
        <v>37315</v>
      </c>
      <c r="C41" s="48"/>
      <c r="D41" s="138">
        <f>+D40+D39</f>
        <v>-191635</v>
      </c>
    </row>
    <row r="42" spans="1:4" x14ac:dyDescent="0.25">
      <c r="D42" s="24"/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37315</v>
      </c>
      <c r="B46" s="32"/>
      <c r="C46" s="32"/>
      <c r="D46" s="608">
        <v>-45642</v>
      </c>
    </row>
    <row r="47" spans="1:4" x14ac:dyDescent="0.25">
      <c r="A47" s="49">
        <f>+A41</f>
        <v>37315</v>
      </c>
      <c r="B47" s="32"/>
      <c r="C47" s="32"/>
      <c r="D47" s="456">
        <f>+D37</f>
        <v>0</v>
      </c>
    </row>
    <row r="48" spans="1:4" x14ac:dyDescent="0.25">
      <c r="A48" s="32"/>
      <c r="B48" s="32"/>
      <c r="C48" s="32"/>
      <c r="D48" s="14">
        <f>+D47+D46</f>
        <v>-45642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32" workbookViewId="0">
      <selection activeCell="C92" sqref="C92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2" spans="1:33" x14ac:dyDescent="0.25">
      <c r="B2" s="457" t="s">
        <v>240</v>
      </c>
    </row>
    <row r="3" spans="1:33" x14ac:dyDescent="0.25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5">
      <c r="B4" s="30" t="s">
        <v>199</v>
      </c>
      <c r="C4" s="4"/>
      <c r="D4" s="38" t="s">
        <v>200</v>
      </c>
      <c r="E4" s="4"/>
      <c r="F4" s="38" t="s">
        <v>201</v>
      </c>
      <c r="G4" s="4"/>
      <c r="H4" s="38" t="s">
        <v>202</v>
      </c>
      <c r="I4" s="4"/>
      <c r="J4" s="4"/>
    </row>
    <row r="5" spans="1:33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5">
      <c r="A6" s="10">
        <v>1</v>
      </c>
      <c r="B6" s="129">
        <v>-269</v>
      </c>
      <c r="C6" s="11">
        <v>-120</v>
      </c>
      <c r="D6" s="11"/>
      <c r="E6" s="11"/>
      <c r="F6" s="11">
        <v>-966</v>
      </c>
      <c r="G6" s="11">
        <v>-644</v>
      </c>
      <c r="H6" s="11"/>
      <c r="I6" s="11"/>
      <c r="J6" s="11">
        <f>+I6+G6+E6+C6-H6-F6-D6-B6</f>
        <v>471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5">
      <c r="A7" s="10">
        <v>2</v>
      </c>
      <c r="B7" s="129">
        <v>-225</v>
      </c>
      <c r="C7" s="11">
        <v>-120</v>
      </c>
      <c r="D7" s="11"/>
      <c r="E7" s="11"/>
      <c r="F7" s="11">
        <v>-1612</v>
      </c>
      <c r="G7" s="11">
        <v>-644</v>
      </c>
      <c r="H7" s="11"/>
      <c r="I7" s="11"/>
      <c r="J7" s="11">
        <f t="shared" ref="J7:J36" si="0">+I7+G7+E7+C7-H7-F7-D7-B7</f>
        <v>1073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5">
      <c r="A8" s="10">
        <v>3</v>
      </c>
      <c r="B8" s="129">
        <v>-138</v>
      </c>
      <c r="C8" s="11">
        <v>-120</v>
      </c>
      <c r="D8" s="11"/>
      <c r="E8" s="11"/>
      <c r="F8" s="11">
        <v>-1479</v>
      </c>
      <c r="G8" s="11">
        <v>-644</v>
      </c>
      <c r="H8" s="11"/>
      <c r="I8" s="11"/>
      <c r="J8" s="11">
        <f t="shared" si="0"/>
        <v>853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5">
      <c r="A9" s="10">
        <v>4</v>
      </c>
      <c r="B9" s="129">
        <v>-120</v>
      </c>
      <c r="C9" s="11">
        <v>-120</v>
      </c>
      <c r="D9" s="11"/>
      <c r="E9" s="11"/>
      <c r="F9" s="11">
        <v>-1283</v>
      </c>
      <c r="G9" s="11">
        <v>-644</v>
      </c>
      <c r="H9" s="11"/>
      <c r="I9" s="11"/>
      <c r="J9" s="11">
        <f t="shared" si="0"/>
        <v>639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5">
      <c r="A10" s="10">
        <v>5</v>
      </c>
      <c r="B10" s="129">
        <v>-114</v>
      </c>
      <c r="C10" s="11">
        <v>-120</v>
      </c>
      <c r="D10" s="129"/>
      <c r="E10" s="11"/>
      <c r="F10" s="11">
        <v>-962</v>
      </c>
      <c r="G10" s="11">
        <v>-481</v>
      </c>
      <c r="H10" s="11"/>
      <c r="I10" s="11"/>
      <c r="J10" s="11">
        <f t="shared" si="0"/>
        <v>475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5">
      <c r="A11" s="10">
        <v>6</v>
      </c>
      <c r="B11" s="129">
        <v>-99</v>
      </c>
      <c r="C11" s="11">
        <v>-120</v>
      </c>
      <c r="D11" s="11"/>
      <c r="E11" s="11"/>
      <c r="F11" s="11">
        <v>-665</v>
      </c>
      <c r="G11" s="11">
        <v>-644</v>
      </c>
      <c r="H11" s="11"/>
      <c r="I11" s="11"/>
      <c r="J11" s="11">
        <f t="shared" si="0"/>
        <v>0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5">
      <c r="A12" s="10">
        <v>7</v>
      </c>
      <c r="B12" s="129">
        <v>-121</v>
      </c>
      <c r="C12" s="11">
        <v>-120</v>
      </c>
      <c r="D12" s="129"/>
      <c r="E12" s="11"/>
      <c r="F12" s="11">
        <v>-524</v>
      </c>
      <c r="G12" s="11">
        <v>-644</v>
      </c>
      <c r="H12" s="11"/>
      <c r="I12" s="11"/>
      <c r="J12" s="11">
        <f t="shared" si="0"/>
        <v>-119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5">
      <c r="A13" s="10">
        <v>8</v>
      </c>
      <c r="B13" s="129">
        <v>-120</v>
      </c>
      <c r="C13" s="11">
        <v>-120</v>
      </c>
      <c r="D13" s="11"/>
      <c r="E13" s="11"/>
      <c r="F13" s="11">
        <v>-482</v>
      </c>
      <c r="G13" s="11">
        <v>-644</v>
      </c>
      <c r="H13" s="11"/>
      <c r="I13" s="11"/>
      <c r="J13" s="11">
        <f t="shared" si="0"/>
        <v>-162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5">
      <c r="A14" s="10">
        <v>9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5">
      <c r="A15" s="10">
        <v>10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5">
      <c r="A16" s="10">
        <v>11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5">
      <c r="A17" s="10">
        <v>12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5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5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5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5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5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5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5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5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5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5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5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5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5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5">
      <c r="A37" s="10"/>
      <c r="B37" s="11">
        <f>SUM(B6:B36)</f>
        <v>-1206</v>
      </c>
      <c r="C37" s="11">
        <f t="shared" ref="C37:I37" si="1">SUM(C6:C36)</f>
        <v>-960</v>
      </c>
      <c r="D37" s="11">
        <f t="shared" si="1"/>
        <v>0</v>
      </c>
      <c r="E37" s="11">
        <f t="shared" si="1"/>
        <v>0</v>
      </c>
      <c r="F37" s="11">
        <f t="shared" si="1"/>
        <v>-7973</v>
      </c>
      <c r="G37" s="11">
        <f t="shared" si="1"/>
        <v>-4989</v>
      </c>
      <c r="H37" s="11">
        <f t="shared" si="1"/>
        <v>0</v>
      </c>
      <c r="I37" s="11">
        <f t="shared" si="1"/>
        <v>0</v>
      </c>
      <c r="J37" s="11">
        <f>SUM(J6:J36)</f>
        <v>3230</v>
      </c>
      <c r="L37" s="18"/>
      <c r="P37" s="18"/>
      <c r="Q37" s="21"/>
      <c r="R37" s="20"/>
      <c r="S37" s="16"/>
      <c r="T37" s="15"/>
      <c r="U37" s="13"/>
    </row>
    <row r="38" spans="1:21" x14ac:dyDescent="0.25">
      <c r="J38" s="15">
        <f>+summary!G4</f>
        <v>2.48</v>
      </c>
      <c r="L38" s="24"/>
      <c r="P38" s="18"/>
      <c r="Q38" s="19"/>
      <c r="R38" s="20"/>
      <c r="S38" s="16"/>
      <c r="T38" s="15"/>
      <c r="U38" s="13"/>
    </row>
    <row r="39" spans="1:21" x14ac:dyDescent="0.25">
      <c r="H39" s="14"/>
      <c r="I39" s="14"/>
      <c r="J39" s="47">
        <f>+J38*J37</f>
        <v>8010.4</v>
      </c>
      <c r="L39" s="24"/>
      <c r="P39" s="18"/>
      <c r="Q39" s="19"/>
      <c r="R39" s="20"/>
      <c r="S39" s="16"/>
      <c r="T39" s="15"/>
      <c r="U39" s="13"/>
    </row>
    <row r="40" spans="1:21" x14ac:dyDescent="0.25">
      <c r="J40" s="247"/>
      <c r="L40" s="18"/>
      <c r="P40" s="18"/>
      <c r="Q40" s="19"/>
      <c r="R40" s="20"/>
      <c r="S40" s="16"/>
      <c r="T40" s="15"/>
      <c r="U40" s="13"/>
    </row>
    <row r="41" spans="1:21" x14ac:dyDescent="0.25">
      <c r="A41" s="57">
        <v>37315</v>
      </c>
      <c r="C41" s="25"/>
      <c r="E41" s="25"/>
      <c r="G41" s="25"/>
      <c r="I41" s="25"/>
      <c r="J41" s="614">
        <v>-27891</v>
      </c>
      <c r="L41" s="18"/>
      <c r="P41" s="18"/>
      <c r="Q41" s="19"/>
      <c r="R41" s="20"/>
      <c r="S41" s="16"/>
      <c r="T41" s="15"/>
      <c r="U41" s="13"/>
    </row>
    <row r="42" spans="1:21" x14ac:dyDescent="0.25">
      <c r="J42" s="319"/>
      <c r="L42" s="18"/>
      <c r="P42" s="18"/>
      <c r="Q42" s="19"/>
      <c r="R42" s="20"/>
      <c r="S42" s="16"/>
      <c r="T42" s="15"/>
      <c r="U42" s="13"/>
    </row>
    <row r="43" spans="1:21" x14ac:dyDescent="0.25">
      <c r="A43" s="57">
        <v>37323</v>
      </c>
      <c r="J43" s="319">
        <f>+J41+J39</f>
        <v>-19880.599999999999</v>
      </c>
      <c r="L43" s="18"/>
      <c r="P43" s="18"/>
      <c r="Q43" s="19"/>
      <c r="R43" s="20"/>
      <c r="S43" s="16"/>
      <c r="T43" s="15"/>
      <c r="U43" s="13"/>
    </row>
    <row r="44" spans="1:21" x14ac:dyDescent="0.25">
      <c r="J44" s="247"/>
      <c r="L44" s="18"/>
      <c r="P44" s="18"/>
      <c r="Q44" s="19"/>
      <c r="R44" s="20"/>
      <c r="S44" s="16"/>
      <c r="T44" s="15"/>
      <c r="U44" s="13"/>
    </row>
    <row r="45" spans="1:21" x14ac:dyDescent="0.25">
      <c r="L45" s="18"/>
      <c r="P45" s="18"/>
      <c r="Q45" s="19"/>
      <c r="R45" s="20"/>
      <c r="S45" s="16"/>
      <c r="T45" s="15"/>
      <c r="U45" s="13"/>
    </row>
    <row r="46" spans="1:21" x14ac:dyDescent="0.25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5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5">
      <c r="A48" s="49">
        <f>+A41</f>
        <v>37315</v>
      </c>
      <c r="B48" s="32"/>
      <c r="C48" s="32"/>
      <c r="D48" s="608">
        <v>180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5">
      <c r="A49" s="49">
        <f>+A43</f>
        <v>37323</v>
      </c>
      <c r="B49" s="32"/>
      <c r="C49" s="32"/>
      <c r="D49" s="348">
        <f>+J37</f>
        <v>3230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5">
      <c r="A50" s="32"/>
      <c r="B50" s="32"/>
      <c r="C50" s="32"/>
      <c r="D50" s="14">
        <f>+D49+D48</f>
        <v>3410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5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5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5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5">
      <c r="A84" s="26"/>
      <c r="K84" s="17"/>
      <c r="L84" s="18"/>
      <c r="M84" s="18"/>
      <c r="N84" s="18"/>
      <c r="O84" s="18"/>
      <c r="P84" s="18"/>
      <c r="R84" s="29"/>
    </row>
    <row r="85" spans="1:18" x14ac:dyDescent="0.25">
      <c r="A85" s="26"/>
      <c r="K85" s="17"/>
      <c r="L85" s="18"/>
      <c r="M85" s="18"/>
      <c r="N85" s="18"/>
      <c r="O85" s="18"/>
      <c r="P85" s="18"/>
      <c r="R85" s="29"/>
    </row>
    <row r="86" spans="1:18" x14ac:dyDescent="0.25">
      <c r="A86" s="26"/>
      <c r="K86" s="17"/>
      <c r="L86" s="18"/>
      <c r="M86" s="18"/>
      <c r="N86" s="18"/>
      <c r="O86" s="18"/>
      <c r="P86" s="18"/>
      <c r="R86" s="29"/>
    </row>
    <row r="87" spans="1:18" x14ac:dyDescent="0.25">
      <c r="A87" s="26"/>
      <c r="K87" s="17"/>
      <c r="L87" s="18"/>
      <c r="M87" s="18"/>
      <c r="N87" s="18"/>
      <c r="O87" s="18"/>
      <c r="P87" s="18"/>
      <c r="R87" s="29"/>
    </row>
    <row r="88" spans="1:18" x14ac:dyDescent="0.25">
      <c r="A88" s="26"/>
      <c r="K88" s="17"/>
      <c r="L88" s="18"/>
      <c r="M88" s="18"/>
      <c r="N88" s="18"/>
      <c r="O88" s="18"/>
      <c r="P88" s="18"/>
      <c r="R88" s="29"/>
    </row>
    <row r="89" spans="1:18" x14ac:dyDescent="0.25">
      <c r="A89" s="26"/>
      <c r="K89" s="17"/>
      <c r="L89" s="18"/>
      <c r="M89" s="18"/>
      <c r="N89" s="18"/>
      <c r="O89" s="18"/>
      <c r="P89" s="18"/>
      <c r="R89" s="29"/>
    </row>
    <row r="90" spans="1:18" x14ac:dyDescent="0.25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5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5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5">
      <c r="A127" s="26"/>
      <c r="C127" s="25"/>
      <c r="E127" s="25"/>
      <c r="H127" s="27"/>
      <c r="I127" s="27"/>
      <c r="J127" s="25"/>
    </row>
    <row r="128" spans="1:10" x14ac:dyDescent="0.25">
      <c r="A128" s="26"/>
    </row>
    <row r="129" spans="1:10" x14ac:dyDescent="0.25">
      <c r="B129" s="1"/>
      <c r="D129" s="1"/>
      <c r="F129" s="1"/>
      <c r="H129" s="1"/>
    </row>
    <row r="130" spans="1:10" x14ac:dyDescent="0.25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5">
      <c r="I166" s="31"/>
      <c r="J166" s="24"/>
    </row>
    <row r="167" spans="1:10" x14ac:dyDescent="0.25">
      <c r="J167" s="24"/>
    </row>
    <row r="171" spans="1:10" x14ac:dyDescent="0.25">
      <c r="B171" s="1"/>
      <c r="D171" s="1"/>
      <c r="F171" s="1"/>
      <c r="H171" s="1"/>
    </row>
    <row r="172" spans="1:10" x14ac:dyDescent="0.25">
      <c r="B172" s="30"/>
      <c r="C172" s="4"/>
      <c r="D172" s="4"/>
      <c r="E172" s="4"/>
      <c r="F172" s="4"/>
      <c r="G172" s="4"/>
      <c r="H172" s="4"/>
      <c r="I172" s="4"/>
    </row>
    <row r="173" spans="1:10" x14ac:dyDescent="0.25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5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5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5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5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5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5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5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5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5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5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5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5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5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5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5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5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5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5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5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5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5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5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5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5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5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5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5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5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5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5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5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5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5">
      <c r="I208" s="31"/>
    </row>
    <row r="214" spans="1:9" x14ac:dyDescent="0.25">
      <c r="B214" s="1"/>
      <c r="D214" s="1"/>
      <c r="F214" s="1"/>
      <c r="H214" s="1"/>
    </row>
    <row r="215" spans="1:9" x14ac:dyDescent="0.25">
      <c r="B215" s="30"/>
      <c r="C215" s="4"/>
      <c r="D215" s="4"/>
      <c r="E215" s="4"/>
      <c r="F215" s="4"/>
      <c r="G215" s="4"/>
      <c r="H215" s="4"/>
      <c r="I215" s="4"/>
    </row>
    <row r="216" spans="1:9" x14ac:dyDescent="0.25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5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5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5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5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5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5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5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5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5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5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5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5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5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5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5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5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5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5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5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5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5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5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5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5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5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5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5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5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5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5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5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5">
      <c r="I251" s="31"/>
    </row>
    <row r="256" spans="1:17" x14ac:dyDescent="0.25">
      <c r="B256" s="1"/>
      <c r="D256" s="1"/>
      <c r="F256" s="1"/>
      <c r="H256" s="1"/>
      <c r="K256" s="1"/>
      <c r="M256" s="1"/>
      <c r="O256" s="1"/>
      <c r="Q256" s="1"/>
    </row>
    <row r="257" spans="1:19" x14ac:dyDescent="0.25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5">
      <c r="I293" s="31"/>
      <c r="R293" s="31"/>
      <c r="S293" s="24"/>
    </row>
    <row r="294" spans="1:19" x14ac:dyDescent="0.25">
      <c r="S294" s="24"/>
    </row>
    <row r="295" spans="1:19" x14ac:dyDescent="0.25">
      <c r="S295" s="24"/>
    </row>
    <row r="297" spans="1:19" x14ac:dyDescent="0.25">
      <c r="K297" s="1"/>
      <c r="M297" s="1"/>
      <c r="O297" s="1"/>
      <c r="Q297" s="1"/>
    </row>
    <row r="298" spans="1:19" x14ac:dyDescent="0.25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5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5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5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5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5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5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5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5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5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5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5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5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5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5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5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5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5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5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5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5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5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5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5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5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5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5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5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5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5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5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5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5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5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5">
      <c r="L334" s="25"/>
      <c r="N334" s="25"/>
      <c r="P334" s="25"/>
      <c r="R334" s="25"/>
      <c r="S334" s="24"/>
    </row>
    <row r="335" spans="10:19" x14ac:dyDescent="0.25">
      <c r="S335" s="24"/>
    </row>
    <row r="336" spans="10:19" x14ac:dyDescent="0.25">
      <c r="J336" s="33"/>
      <c r="S336" s="24"/>
    </row>
    <row r="339" spans="10:19" x14ac:dyDescent="0.25">
      <c r="K339" s="1"/>
      <c r="M339" s="1"/>
      <c r="O339" s="1"/>
      <c r="Q339" s="1"/>
    </row>
    <row r="340" spans="10:19" x14ac:dyDescent="0.25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5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5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5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5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5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5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5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5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5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5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5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5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5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5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5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5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5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5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5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5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5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5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5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5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5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5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5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5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5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5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5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5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5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5">
      <c r="J376" s="34"/>
      <c r="L376" s="25"/>
      <c r="N376" s="25"/>
      <c r="P376" s="25"/>
      <c r="R376" s="25"/>
      <c r="S376" s="24"/>
    </row>
    <row r="377" spans="10:19" x14ac:dyDescent="0.25">
      <c r="S377" s="24"/>
    </row>
    <row r="378" spans="10:19" x14ac:dyDescent="0.25">
      <c r="J378" s="33"/>
      <c r="S378" s="35"/>
    </row>
    <row r="381" spans="10:19" x14ac:dyDescent="0.25">
      <c r="K381" s="1"/>
      <c r="M381" s="1"/>
      <c r="O381" s="1"/>
      <c r="Q381" s="1"/>
    </row>
    <row r="382" spans="10:19" x14ac:dyDescent="0.25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5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5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5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5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5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5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5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5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5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5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5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5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5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5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5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5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5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5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5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5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5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5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5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5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5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5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5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5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5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5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5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5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5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5">
      <c r="J418" s="34"/>
      <c r="L418" s="25"/>
      <c r="N418" s="25"/>
      <c r="P418" s="25"/>
      <c r="R418" s="25"/>
      <c r="S418" s="24"/>
    </row>
    <row r="419" spans="10:19" x14ac:dyDescent="0.25">
      <c r="S419" s="24"/>
    </row>
    <row r="420" spans="10:19" x14ac:dyDescent="0.25">
      <c r="J420" s="33"/>
      <c r="S420" s="35"/>
    </row>
    <row r="425" spans="10:19" x14ac:dyDescent="0.25">
      <c r="K425" s="1"/>
      <c r="M425" s="1"/>
      <c r="O425" s="1"/>
      <c r="Q425" s="1"/>
    </row>
    <row r="426" spans="10:19" x14ac:dyDescent="0.25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5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5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5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5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5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5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5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5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5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5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5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5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5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5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5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5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5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5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5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5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5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5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5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5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5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5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5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5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5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5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5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5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5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5">
      <c r="Q461" s="14"/>
    </row>
    <row r="462" spans="10:19" x14ac:dyDescent="0.25">
      <c r="J462" s="34"/>
      <c r="L462" s="25"/>
      <c r="N462" s="25"/>
      <c r="P462" s="25"/>
      <c r="R462" s="25"/>
      <c r="S462" s="24"/>
    </row>
    <row r="463" spans="10:19" x14ac:dyDescent="0.25">
      <c r="S463" s="24"/>
    </row>
    <row r="464" spans="10:19" x14ac:dyDescent="0.25">
      <c r="J464" s="33"/>
      <c r="S464" s="36"/>
    </row>
    <row r="467" spans="10:29" x14ac:dyDescent="0.25">
      <c r="K467" s="1"/>
      <c r="M467" s="1"/>
      <c r="O467" s="1"/>
      <c r="Q467" s="1"/>
      <c r="U467" s="1"/>
      <c r="W467" s="1"/>
      <c r="Y467" s="1"/>
      <c r="AA467" s="1"/>
    </row>
    <row r="468" spans="10:29" x14ac:dyDescent="0.25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5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5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5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5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5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5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5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5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5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5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5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5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5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5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5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5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5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5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5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5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5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5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5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5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5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5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5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5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5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5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5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5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5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5">
      <c r="Q503" s="14"/>
      <c r="AA503" s="14"/>
    </row>
    <row r="504" spans="10:29" x14ac:dyDescent="0.25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5">
      <c r="S505" s="24"/>
      <c r="AC505" s="24"/>
    </row>
    <row r="506" spans="10:29" x14ac:dyDescent="0.25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24" workbookViewId="0">
      <selection activeCell="M16" sqref="M16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  <col min="10" max="10" width="9.88671875" customWidth="1"/>
    <col min="11" max="11" width="9.33203125" customWidth="1"/>
    <col min="12" max="12" width="9.88671875" customWidth="1"/>
    <col min="13" max="13" width="9.33203125" customWidth="1"/>
  </cols>
  <sheetData>
    <row r="2" spans="1:37" x14ac:dyDescent="0.25">
      <c r="B2" s="34" t="s">
        <v>278</v>
      </c>
    </row>
    <row r="3" spans="1:37" x14ac:dyDescent="0.25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5">
      <c r="B4" s="30" t="s">
        <v>280</v>
      </c>
      <c r="C4" s="4"/>
      <c r="D4" s="38" t="s">
        <v>281</v>
      </c>
      <c r="E4" s="4"/>
      <c r="F4" s="38" t="s">
        <v>282</v>
      </c>
      <c r="G4" s="4"/>
      <c r="H4" s="38" t="s">
        <v>283</v>
      </c>
      <c r="I4" s="4"/>
      <c r="J4" s="38" t="s">
        <v>284</v>
      </c>
      <c r="K4" s="4"/>
      <c r="L4" s="38" t="s">
        <v>285</v>
      </c>
      <c r="M4" s="4"/>
      <c r="N4" s="4"/>
    </row>
    <row r="5" spans="1:37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5">
      <c r="A6" s="10">
        <v>1</v>
      </c>
      <c r="B6" s="490"/>
      <c r="C6" s="11"/>
      <c r="D6" s="490"/>
      <c r="E6" s="11"/>
      <c r="F6" s="490"/>
      <c r="G6" s="11"/>
      <c r="H6" s="490"/>
      <c r="I6" s="11"/>
      <c r="J6" s="490"/>
      <c r="K6" s="11"/>
      <c r="L6" s="11">
        <v>-802</v>
      </c>
      <c r="M6" s="11">
        <v>-906</v>
      </c>
      <c r="N6" s="11">
        <f>+M6+K6+I6+G6+E6+C6-L6-J6-H6-F6-D6-B6</f>
        <v>-104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5">
      <c r="A7" s="10">
        <v>2</v>
      </c>
      <c r="B7" s="490"/>
      <c r="C7" s="11"/>
      <c r="D7" s="490"/>
      <c r="E7" s="11"/>
      <c r="F7" s="490"/>
      <c r="G7" s="11"/>
      <c r="H7" s="490"/>
      <c r="I7" s="11"/>
      <c r="J7" s="490"/>
      <c r="K7" s="11"/>
      <c r="L7" s="11">
        <v>-799</v>
      </c>
      <c r="M7" s="11">
        <v>-906</v>
      </c>
      <c r="N7" s="11">
        <f t="shared" ref="N7:N36" si="0">+M7+K7+I7+G7+E7+C7-L7-J7-H7-F7-D7-B7</f>
        <v>-107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5">
      <c r="A8" s="10">
        <v>3</v>
      </c>
      <c r="B8" s="490"/>
      <c r="C8" s="11"/>
      <c r="D8" s="490"/>
      <c r="E8" s="11"/>
      <c r="F8" s="490"/>
      <c r="G8" s="11"/>
      <c r="H8" s="490"/>
      <c r="I8" s="11"/>
      <c r="J8" s="490"/>
      <c r="K8" s="11"/>
      <c r="L8" s="11">
        <v>-812</v>
      </c>
      <c r="M8" s="11">
        <v>-906</v>
      </c>
      <c r="N8" s="11">
        <f t="shared" si="0"/>
        <v>-94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5">
      <c r="A9" s="10">
        <v>4</v>
      </c>
      <c r="B9" s="490"/>
      <c r="C9" s="11"/>
      <c r="D9" s="490"/>
      <c r="E9" s="11"/>
      <c r="F9" s="490"/>
      <c r="G9" s="11"/>
      <c r="H9" s="490"/>
      <c r="I9" s="11"/>
      <c r="J9" s="490"/>
      <c r="K9" s="11"/>
      <c r="L9" s="11">
        <v>-801</v>
      </c>
      <c r="M9" s="11">
        <v>-906</v>
      </c>
      <c r="N9" s="11">
        <f t="shared" si="0"/>
        <v>-105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5">
      <c r="A10" s="10">
        <v>5</v>
      </c>
      <c r="B10" s="490"/>
      <c r="C10" s="11"/>
      <c r="D10" s="490"/>
      <c r="E10" s="11"/>
      <c r="F10" s="490"/>
      <c r="G10" s="11"/>
      <c r="H10" s="490"/>
      <c r="I10" s="11"/>
      <c r="J10" s="490"/>
      <c r="K10" s="11"/>
      <c r="L10" s="11">
        <v>-684</v>
      </c>
      <c r="M10" s="11">
        <v>-906</v>
      </c>
      <c r="N10" s="11">
        <f t="shared" si="0"/>
        <v>-222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5">
      <c r="A11" s="10">
        <v>6</v>
      </c>
      <c r="B11" s="490"/>
      <c r="C11" s="11"/>
      <c r="D11" s="490"/>
      <c r="E11" s="11"/>
      <c r="F11" s="490"/>
      <c r="G11" s="11"/>
      <c r="H11" s="490"/>
      <c r="I11" s="11"/>
      <c r="J11" s="490"/>
      <c r="K11" s="11"/>
      <c r="L11" s="11">
        <v>-666</v>
      </c>
      <c r="M11" s="11">
        <v>-906</v>
      </c>
      <c r="N11" s="11">
        <f t="shared" si="0"/>
        <v>-240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5">
      <c r="A12" s="10">
        <v>7</v>
      </c>
      <c r="B12" s="490"/>
      <c r="C12" s="11"/>
      <c r="D12" s="490"/>
      <c r="E12" s="11"/>
      <c r="F12" s="490"/>
      <c r="G12" s="11"/>
      <c r="H12" s="490"/>
      <c r="I12" s="11"/>
      <c r="J12" s="490"/>
      <c r="K12" s="11"/>
      <c r="L12" s="11">
        <v>-720</v>
      </c>
      <c r="M12" s="11">
        <v>-906</v>
      </c>
      <c r="N12" s="11">
        <f t="shared" si="0"/>
        <v>-186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5">
      <c r="A13" s="10">
        <v>8</v>
      </c>
      <c r="B13" s="490"/>
      <c r="C13" s="11"/>
      <c r="D13" s="490"/>
      <c r="E13" s="11"/>
      <c r="F13" s="490"/>
      <c r="G13" s="11"/>
      <c r="H13" s="490"/>
      <c r="I13" s="11"/>
      <c r="J13" s="490"/>
      <c r="K13" s="11"/>
      <c r="L13" s="11">
        <v>-747</v>
      </c>
      <c r="M13" s="11">
        <v>-906</v>
      </c>
      <c r="N13" s="11">
        <f t="shared" si="0"/>
        <v>-159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5">
      <c r="A14" s="10">
        <v>9</v>
      </c>
      <c r="B14" s="490"/>
      <c r="C14" s="11"/>
      <c r="D14" s="490"/>
      <c r="E14" s="11"/>
      <c r="F14" s="490"/>
      <c r="G14" s="11"/>
      <c r="H14" s="490"/>
      <c r="I14" s="11"/>
      <c r="J14" s="490"/>
      <c r="K14" s="11"/>
      <c r="L14" s="11">
        <v>-776</v>
      </c>
      <c r="M14" s="11">
        <v>-906</v>
      </c>
      <c r="N14" s="11">
        <f t="shared" si="0"/>
        <v>-130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5">
      <c r="A15" s="10">
        <v>10</v>
      </c>
      <c r="B15" s="490"/>
      <c r="C15" s="11"/>
      <c r="D15" s="490"/>
      <c r="E15" s="11"/>
      <c r="F15" s="490"/>
      <c r="G15" s="11"/>
      <c r="H15" s="490"/>
      <c r="I15" s="11"/>
      <c r="J15" s="490"/>
      <c r="K15" s="11"/>
      <c r="L15" s="11">
        <v>-703</v>
      </c>
      <c r="M15" s="11">
        <v>-414</v>
      </c>
      <c r="N15" s="11">
        <f t="shared" si="0"/>
        <v>289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5">
      <c r="A16" s="10">
        <v>11</v>
      </c>
      <c r="B16" s="490"/>
      <c r="C16" s="11"/>
      <c r="D16" s="490"/>
      <c r="E16" s="11"/>
      <c r="F16" s="490"/>
      <c r="G16" s="11"/>
      <c r="H16" s="490"/>
      <c r="I16" s="11"/>
      <c r="J16" s="490"/>
      <c r="K16" s="11"/>
      <c r="L16" s="11"/>
      <c r="M16" s="11"/>
      <c r="N16" s="11">
        <f>+M16+K16+I16+G16+E16+C16-L16-J16-H16-F16-D16-B16</f>
        <v>0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5">
      <c r="A17" s="10">
        <v>12</v>
      </c>
      <c r="B17" s="490"/>
      <c r="C17" s="11"/>
      <c r="D17" s="490"/>
      <c r="E17" s="11"/>
      <c r="F17" s="490"/>
      <c r="G17" s="11"/>
      <c r="H17" s="490"/>
      <c r="I17" s="11"/>
      <c r="J17" s="490"/>
      <c r="K17" s="11"/>
      <c r="L17" s="11"/>
      <c r="M17" s="11"/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5">
      <c r="A18" s="10">
        <v>13</v>
      </c>
      <c r="B18" s="490"/>
      <c r="C18" s="11"/>
      <c r="D18" s="490"/>
      <c r="E18" s="11"/>
      <c r="F18" s="490"/>
      <c r="G18" s="11"/>
      <c r="H18" s="490"/>
      <c r="I18" s="11"/>
      <c r="J18" s="490"/>
      <c r="K18" s="11"/>
      <c r="L18" s="11"/>
      <c r="M18" s="11"/>
      <c r="N18" s="11">
        <f>+M18+K18+I18+G18+E18+C18-L18-J18-H18-F18-D18-B18</f>
        <v>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5">
      <c r="A19" s="10">
        <v>14</v>
      </c>
      <c r="B19" s="490"/>
      <c r="C19" s="11"/>
      <c r="D19" s="490"/>
      <c r="E19" s="11"/>
      <c r="F19" s="490"/>
      <c r="G19" s="11"/>
      <c r="H19" s="490"/>
      <c r="I19" s="11"/>
      <c r="J19" s="490"/>
      <c r="K19" s="11"/>
      <c r="L19" s="11"/>
      <c r="M19" s="11"/>
      <c r="N19" s="11">
        <f>+M19+K19+I19+G19+E19+C19-L19-J19-H19-F19-D19-B19</f>
        <v>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5">
      <c r="A20" s="10">
        <v>15</v>
      </c>
      <c r="B20" s="490"/>
      <c r="C20" s="11"/>
      <c r="D20" s="490"/>
      <c r="E20" s="11"/>
      <c r="F20" s="490"/>
      <c r="G20" s="11"/>
      <c r="H20" s="490"/>
      <c r="I20" s="11"/>
      <c r="J20" s="490"/>
      <c r="K20" s="11"/>
      <c r="L20" s="11"/>
      <c r="M20" s="11"/>
      <c r="N20" s="11">
        <f>+M20+K20+I20+G20+E20+C20-L20-J20-H20-F20-D20-B20</f>
        <v>0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5">
      <c r="A21" s="10">
        <v>16</v>
      </c>
      <c r="B21" s="490"/>
      <c r="C21" s="11"/>
      <c r="D21" s="490"/>
      <c r="E21" s="11"/>
      <c r="F21" s="490"/>
      <c r="G21" s="11"/>
      <c r="H21" s="490"/>
      <c r="I21" s="11"/>
      <c r="J21" s="490"/>
      <c r="K21" s="11"/>
      <c r="L21" s="11"/>
      <c r="M21" s="11"/>
      <c r="N21" s="11">
        <f t="shared" si="0"/>
        <v>0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5">
      <c r="A22" s="10">
        <v>17</v>
      </c>
      <c r="B22" s="490"/>
      <c r="C22" s="11"/>
      <c r="D22" s="490"/>
      <c r="E22" s="11"/>
      <c r="F22" s="490"/>
      <c r="G22" s="11"/>
      <c r="H22" s="490"/>
      <c r="I22" s="11"/>
      <c r="J22" s="490"/>
      <c r="K22" s="11"/>
      <c r="L22" s="11"/>
      <c r="M22" s="11"/>
      <c r="N22" s="11">
        <f t="shared" si="0"/>
        <v>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5">
      <c r="A23" s="10">
        <v>18</v>
      </c>
      <c r="B23" s="490"/>
      <c r="C23" s="11"/>
      <c r="D23" s="490"/>
      <c r="E23" s="11"/>
      <c r="F23" s="490"/>
      <c r="G23" s="11"/>
      <c r="H23" s="490"/>
      <c r="I23" s="11"/>
      <c r="J23" s="490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5">
      <c r="A24" s="10">
        <v>19</v>
      </c>
      <c r="B24" s="490"/>
      <c r="C24" s="11"/>
      <c r="D24" s="490"/>
      <c r="E24" s="11"/>
      <c r="F24" s="490"/>
      <c r="G24" s="11"/>
      <c r="H24" s="490"/>
      <c r="I24" s="11"/>
      <c r="J24" s="490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5">
      <c r="A25" s="10">
        <v>20</v>
      </c>
      <c r="B25" s="490"/>
      <c r="C25" s="11"/>
      <c r="D25" s="490"/>
      <c r="E25" s="11"/>
      <c r="F25" s="490"/>
      <c r="G25" s="11"/>
      <c r="H25" s="490"/>
      <c r="I25" s="11"/>
      <c r="J25" s="490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5">
      <c r="A26" s="10">
        <v>21</v>
      </c>
      <c r="B26" s="490"/>
      <c r="C26" s="11"/>
      <c r="D26" s="490"/>
      <c r="E26" s="11"/>
      <c r="F26" s="490"/>
      <c r="G26" s="11"/>
      <c r="H26" s="490"/>
      <c r="I26" s="11"/>
      <c r="J26" s="490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5">
      <c r="A27" s="10">
        <v>22</v>
      </c>
      <c r="B27" s="490"/>
      <c r="C27" s="11"/>
      <c r="D27" s="490"/>
      <c r="E27" s="11"/>
      <c r="F27" s="490"/>
      <c r="G27" s="11"/>
      <c r="H27" s="490"/>
      <c r="I27" s="11"/>
      <c r="J27" s="490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5">
      <c r="A28" s="10">
        <v>23</v>
      </c>
      <c r="B28" s="490"/>
      <c r="C28" s="11"/>
      <c r="D28" s="490"/>
      <c r="E28" s="11"/>
      <c r="F28" s="490"/>
      <c r="G28" s="11"/>
      <c r="H28" s="490"/>
      <c r="I28" s="11"/>
      <c r="J28" s="490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5">
      <c r="A29" s="10">
        <v>24</v>
      </c>
      <c r="B29" s="490"/>
      <c r="C29" s="11"/>
      <c r="D29" s="490"/>
      <c r="E29" s="11"/>
      <c r="F29" s="490"/>
      <c r="G29" s="11"/>
      <c r="H29" s="490"/>
      <c r="I29" s="11"/>
      <c r="J29" s="490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5">
      <c r="A30" s="10">
        <v>25</v>
      </c>
      <c r="B30" s="490"/>
      <c r="C30" s="11"/>
      <c r="D30" s="490"/>
      <c r="E30" s="11"/>
      <c r="F30" s="490"/>
      <c r="G30" s="11"/>
      <c r="H30" s="490"/>
      <c r="I30" s="11"/>
      <c r="J30" s="490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5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-7510</v>
      </c>
      <c r="M37" s="11">
        <f>SUM(M6:M36)</f>
        <v>-8568</v>
      </c>
      <c r="N37" s="11">
        <f t="shared" si="1"/>
        <v>-1058</v>
      </c>
      <c r="P37" s="18"/>
      <c r="T37" s="18"/>
      <c r="U37" s="21"/>
      <c r="V37" s="20"/>
      <c r="W37" s="16"/>
      <c r="X37" s="15"/>
      <c r="Y37" s="13"/>
    </row>
    <row r="38" spans="1:25" x14ac:dyDescent="0.25">
      <c r="N38" s="15">
        <f>+summary!G4</f>
        <v>2.48</v>
      </c>
      <c r="P38" s="24"/>
      <c r="T38" s="18"/>
      <c r="U38" s="19"/>
      <c r="V38" s="20"/>
      <c r="W38" s="16"/>
      <c r="X38" s="15"/>
      <c r="Y38" s="13"/>
    </row>
    <row r="39" spans="1:25" x14ac:dyDescent="0.25">
      <c r="H39" s="14"/>
      <c r="I39" s="14"/>
      <c r="J39" s="14"/>
      <c r="K39" s="14"/>
      <c r="L39" s="14"/>
      <c r="M39" s="14"/>
      <c r="N39" s="47">
        <f>+N38*N37</f>
        <v>-2623.84</v>
      </c>
      <c r="P39" s="24"/>
      <c r="T39" s="18"/>
      <c r="U39" s="19"/>
      <c r="V39" s="20"/>
      <c r="W39" s="16"/>
      <c r="X39" s="15"/>
      <c r="Y39" s="13"/>
    </row>
    <row r="40" spans="1:25" x14ac:dyDescent="0.25">
      <c r="N40" s="247"/>
      <c r="P40" s="18"/>
      <c r="T40" s="18"/>
      <c r="U40" s="19"/>
      <c r="V40" s="20"/>
      <c r="W40" s="16"/>
      <c r="X40" s="15"/>
      <c r="Y40" s="13"/>
    </row>
    <row r="41" spans="1:25" x14ac:dyDescent="0.25">
      <c r="A41" s="57">
        <v>37315</v>
      </c>
      <c r="C41" s="25"/>
      <c r="E41" s="25"/>
      <c r="G41" s="25"/>
      <c r="I41" s="25"/>
      <c r="K41" s="25"/>
      <c r="M41" s="25"/>
      <c r="N41" s="614">
        <v>19523.169999999998</v>
      </c>
      <c r="P41" s="18"/>
      <c r="T41" s="18"/>
      <c r="U41" s="19"/>
      <c r="V41" s="20"/>
      <c r="W41" s="16"/>
      <c r="X41" s="15"/>
      <c r="Y41" s="13"/>
    </row>
    <row r="42" spans="1:25" x14ac:dyDescent="0.25">
      <c r="N42" s="319"/>
      <c r="P42" s="18"/>
      <c r="T42" s="18"/>
      <c r="U42" s="19"/>
      <c r="V42" s="20"/>
      <c r="W42" s="16"/>
      <c r="X42" s="15"/>
      <c r="Y42" s="13"/>
    </row>
    <row r="43" spans="1:25" x14ac:dyDescent="0.25">
      <c r="A43" s="57">
        <v>37323</v>
      </c>
      <c r="N43" s="319">
        <f>+N41+N39</f>
        <v>16899.329999999998</v>
      </c>
      <c r="P43" s="18"/>
      <c r="T43" s="18"/>
      <c r="U43" s="19"/>
      <c r="V43" s="20"/>
      <c r="W43" s="16"/>
      <c r="X43" s="15"/>
      <c r="Y43" s="13"/>
    </row>
    <row r="44" spans="1:25" x14ac:dyDescent="0.25">
      <c r="N44" s="247"/>
      <c r="P44" s="18"/>
      <c r="T44" s="18"/>
      <c r="U44" s="19"/>
      <c r="V44" s="20"/>
      <c r="W44" s="16"/>
      <c r="X44" s="15"/>
      <c r="Y44" s="13"/>
    </row>
    <row r="45" spans="1:25" x14ac:dyDescent="0.25">
      <c r="P45" s="18"/>
      <c r="T45" s="18"/>
      <c r="U45" s="19"/>
      <c r="V45" s="20"/>
      <c r="W45" s="16"/>
      <c r="X45" s="15"/>
      <c r="Y45" s="13"/>
    </row>
    <row r="46" spans="1:25" x14ac:dyDescent="0.25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5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5">
      <c r="A48" s="49">
        <f>+A41</f>
        <v>37315</v>
      </c>
      <c r="B48" s="32"/>
      <c r="C48" s="32"/>
      <c r="D48" s="608">
        <v>5871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5">
      <c r="A49" s="49">
        <f>+A43</f>
        <v>37323</v>
      </c>
      <c r="B49" s="32"/>
      <c r="C49" s="32"/>
      <c r="D49" s="348">
        <f>+N37</f>
        <v>-1058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5">
      <c r="A50" s="32"/>
      <c r="B50" s="32"/>
      <c r="C50" s="32"/>
      <c r="D50" s="14">
        <f>+D49+D48</f>
        <v>4813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5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5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5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5">
      <c r="A84" s="26"/>
      <c r="O84" s="17"/>
      <c r="P84" s="18"/>
      <c r="Q84" s="18"/>
      <c r="R84" s="18"/>
      <c r="S84" s="18"/>
      <c r="T84" s="18"/>
      <c r="V84" s="29"/>
    </row>
    <row r="85" spans="1:22" x14ac:dyDescent="0.25">
      <c r="A85" s="26"/>
      <c r="O85" s="17"/>
      <c r="P85" s="18"/>
      <c r="Q85" s="18"/>
      <c r="R85" s="18"/>
      <c r="S85" s="18"/>
      <c r="T85" s="18"/>
      <c r="V85" s="29"/>
    </row>
    <row r="86" spans="1:22" x14ac:dyDescent="0.25">
      <c r="A86" s="26"/>
      <c r="O86" s="17"/>
      <c r="P86" s="18"/>
      <c r="Q86" s="18"/>
      <c r="R86" s="18"/>
      <c r="S86" s="18"/>
      <c r="T86" s="18"/>
      <c r="V86" s="29"/>
    </row>
    <row r="87" spans="1:22" x14ac:dyDescent="0.25">
      <c r="A87" s="26"/>
      <c r="O87" s="17"/>
      <c r="P87" s="18"/>
      <c r="Q87" s="18"/>
      <c r="R87" s="18"/>
      <c r="S87" s="18"/>
      <c r="T87" s="18"/>
      <c r="V87" s="29"/>
    </row>
    <row r="88" spans="1:22" x14ac:dyDescent="0.25">
      <c r="A88" s="26"/>
      <c r="O88" s="17"/>
      <c r="P88" s="18"/>
      <c r="Q88" s="18"/>
      <c r="R88" s="18"/>
      <c r="S88" s="18"/>
      <c r="T88" s="18"/>
      <c r="V88" s="29"/>
    </row>
    <row r="89" spans="1:22" x14ac:dyDescent="0.25">
      <c r="A89" s="26"/>
      <c r="O89" s="17"/>
      <c r="P89" s="18"/>
      <c r="Q89" s="18"/>
      <c r="R89" s="18"/>
      <c r="S89" s="18"/>
      <c r="T89" s="18"/>
      <c r="V89" s="29"/>
    </row>
    <row r="90" spans="1:22" x14ac:dyDescent="0.25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5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5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5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5">
      <c r="A128" s="26"/>
    </row>
    <row r="129" spans="1:14" x14ac:dyDescent="0.25">
      <c r="B129" s="1"/>
      <c r="D129" s="1"/>
      <c r="F129" s="1"/>
      <c r="H129" s="1"/>
      <c r="J129" s="1"/>
      <c r="L129" s="1"/>
    </row>
    <row r="130" spans="1:14" x14ac:dyDescent="0.25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5">
      <c r="I166" s="31"/>
      <c r="K166" s="31"/>
      <c r="M166" s="31"/>
      <c r="N166" s="24"/>
    </row>
    <row r="167" spans="1:14" x14ac:dyDescent="0.25">
      <c r="N167" s="24"/>
    </row>
    <row r="171" spans="1:14" x14ac:dyDescent="0.25">
      <c r="B171" s="1"/>
      <c r="D171" s="1"/>
      <c r="F171" s="1"/>
      <c r="H171" s="1"/>
      <c r="J171" s="1"/>
      <c r="L171" s="1"/>
    </row>
    <row r="172" spans="1:14" x14ac:dyDescent="0.25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5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5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5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5">
      <c r="I208" s="31"/>
      <c r="K208" s="31"/>
      <c r="M208" s="31"/>
    </row>
    <row r="214" spans="1:13" x14ac:dyDescent="0.25">
      <c r="B214" s="1"/>
      <c r="D214" s="1"/>
      <c r="F214" s="1"/>
      <c r="H214" s="1"/>
      <c r="J214" s="1"/>
      <c r="L214" s="1"/>
    </row>
    <row r="215" spans="1:13" x14ac:dyDescent="0.25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5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5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5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5">
      <c r="I251" s="31"/>
      <c r="K251" s="31"/>
      <c r="M251" s="31"/>
    </row>
    <row r="256" spans="1:21" x14ac:dyDescent="0.25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5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5">
      <c r="I293" s="31"/>
      <c r="K293" s="31"/>
      <c r="M293" s="31"/>
      <c r="V293" s="31"/>
      <c r="W293" s="24"/>
    </row>
    <row r="294" spans="1:23" x14ac:dyDescent="0.25">
      <c r="W294" s="24"/>
    </row>
    <row r="295" spans="1:23" x14ac:dyDescent="0.25">
      <c r="W295" s="24"/>
    </row>
    <row r="297" spans="1:23" x14ac:dyDescent="0.25">
      <c r="O297" s="1"/>
      <c r="Q297" s="1"/>
      <c r="S297" s="1"/>
      <c r="U297" s="1"/>
    </row>
    <row r="298" spans="1:23" x14ac:dyDescent="0.25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5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5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5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5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5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5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5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5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5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5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5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5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5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5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5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5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5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5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5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5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5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5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5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5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5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5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5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5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5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5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5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5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5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5">
      <c r="P334" s="25"/>
      <c r="R334" s="25"/>
      <c r="T334" s="25"/>
      <c r="V334" s="25"/>
      <c r="W334" s="24"/>
    </row>
    <row r="335" spans="14:23" x14ac:dyDescent="0.25">
      <c r="W335" s="24"/>
    </row>
    <row r="336" spans="14:23" x14ac:dyDescent="0.25">
      <c r="N336" s="33"/>
      <c r="W336" s="24"/>
    </row>
    <row r="339" spans="14:23" x14ac:dyDescent="0.25">
      <c r="O339" s="1"/>
      <c r="Q339" s="1"/>
      <c r="S339" s="1"/>
      <c r="U339" s="1"/>
    </row>
    <row r="340" spans="14:23" x14ac:dyDescent="0.25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5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5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5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5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5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5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5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5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5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5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5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5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5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5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5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5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5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5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5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5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5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5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5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5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5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5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5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5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5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5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5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5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5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5">
      <c r="N376" s="34"/>
      <c r="P376" s="25"/>
      <c r="R376" s="25"/>
      <c r="T376" s="25"/>
      <c r="V376" s="25"/>
      <c r="W376" s="24"/>
    </row>
    <row r="377" spans="14:23" x14ac:dyDescent="0.25">
      <c r="W377" s="24"/>
    </row>
    <row r="378" spans="14:23" x14ac:dyDescent="0.25">
      <c r="N378" s="33"/>
      <c r="W378" s="35"/>
    </row>
    <row r="381" spans="14:23" x14ac:dyDescent="0.25">
      <c r="O381" s="1"/>
      <c r="Q381" s="1"/>
      <c r="S381" s="1"/>
      <c r="U381" s="1"/>
    </row>
    <row r="382" spans="14:23" x14ac:dyDescent="0.25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5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5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5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5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5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5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5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5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5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5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5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5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5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5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5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5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5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5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5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5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5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5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5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5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5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5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5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5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5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5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5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5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5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5">
      <c r="N418" s="34"/>
      <c r="P418" s="25"/>
      <c r="R418" s="25"/>
      <c r="T418" s="25"/>
      <c r="V418" s="25"/>
      <c r="W418" s="24"/>
    </row>
    <row r="419" spans="14:23" x14ac:dyDescent="0.25">
      <c r="W419" s="24"/>
    </row>
    <row r="420" spans="14:23" x14ac:dyDescent="0.25">
      <c r="N420" s="33"/>
      <c r="W420" s="35"/>
    </row>
    <row r="425" spans="14:23" x14ac:dyDescent="0.25">
      <c r="O425" s="1"/>
      <c r="Q425" s="1"/>
      <c r="S425" s="1"/>
      <c r="U425" s="1"/>
    </row>
    <row r="426" spans="14:23" x14ac:dyDescent="0.25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5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5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5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5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5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5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5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5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5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5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5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5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5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5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5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5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5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5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5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5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5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5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5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5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5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5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5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5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5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5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5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5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5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5">
      <c r="U461" s="14"/>
    </row>
    <row r="462" spans="14:23" x14ac:dyDescent="0.25">
      <c r="N462" s="34"/>
      <c r="P462" s="25"/>
      <c r="R462" s="25"/>
      <c r="T462" s="25"/>
      <c r="V462" s="25"/>
      <c r="W462" s="24"/>
    </row>
    <row r="463" spans="14:23" x14ac:dyDescent="0.25">
      <c r="W463" s="24"/>
    </row>
    <row r="464" spans="14:23" x14ac:dyDescent="0.25">
      <c r="N464" s="33"/>
      <c r="W464" s="36"/>
    </row>
    <row r="467" spans="14:33" x14ac:dyDescent="0.25">
      <c r="O467" s="1"/>
      <c r="Q467" s="1"/>
      <c r="S467" s="1"/>
      <c r="U467" s="1"/>
      <c r="Y467" s="1"/>
      <c r="AA467" s="1"/>
      <c r="AC467" s="1"/>
      <c r="AE467" s="1"/>
    </row>
    <row r="468" spans="14:33" x14ac:dyDescent="0.25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5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5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5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5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5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5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5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5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5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5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5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5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5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5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5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5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5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5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5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5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5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5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5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5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5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5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5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5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5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5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5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5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5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5">
      <c r="U503" s="14"/>
      <c r="AE503" s="14"/>
    </row>
    <row r="504" spans="14:33" x14ac:dyDescent="0.25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5">
      <c r="W505" s="24"/>
      <c r="AG505" s="24"/>
    </row>
    <row r="506" spans="14:33" x14ac:dyDescent="0.25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204</v>
      </c>
      <c r="C3" s="87"/>
      <c r="D3" s="87"/>
    </row>
    <row r="4" spans="1:4" x14ac:dyDescent="0.25">
      <c r="A4" s="3"/>
      <c r="B4" s="328" t="s">
        <v>205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260</v>
      </c>
      <c r="C6" s="11">
        <v>78</v>
      </c>
      <c r="D6" s="25">
        <f>+C6-B6</f>
        <v>-182</v>
      </c>
    </row>
    <row r="7" spans="1:4" x14ac:dyDescent="0.25">
      <c r="A7" s="10">
        <v>2</v>
      </c>
      <c r="B7" s="11">
        <v>65</v>
      </c>
      <c r="C7" s="11">
        <v>145</v>
      </c>
      <c r="D7" s="25">
        <f t="shared" ref="D7:D36" si="0">+C7-B7</f>
        <v>80</v>
      </c>
    </row>
    <row r="8" spans="1:4" x14ac:dyDescent="0.25">
      <c r="A8" s="10">
        <v>3</v>
      </c>
      <c r="B8" s="129">
        <v>178</v>
      </c>
      <c r="C8" s="11">
        <v>145</v>
      </c>
      <c r="D8" s="25">
        <f t="shared" si="0"/>
        <v>-33</v>
      </c>
    </row>
    <row r="9" spans="1:4" x14ac:dyDescent="0.25">
      <c r="A9" s="10">
        <v>4</v>
      </c>
      <c r="B9" s="129">
        <v>158</v>
      </c>
      <c r="C9" s="11">
        <v>150</v>
      </c>
      <c r="D9" s="25">
        <f t="shared" si="0"/>
        <v>-8</v>
      </c>
    </row>
    <row r="10" spans="1:4" x14ac:dyDescent="0.25">
      <c r="A10" s="10">
        <v>5</v>
      </c>
      <c r="B10" s="129">
        <v>173</v>
      </c>
      <c r="C10" s="11">
        <v>150</v>
      </c>
      <c r="D10" s="25">
        <f t="shared" si="0"/>
        <v>-23</v>
      </c>
    </row>
    <row r="11" spans="1:4" x14ac:dyDescent="0.25">
      <c r="A11" s="10">
        <v>6</v>
      </c>
      <c r="B11" s="129">
        <v>294</v>
      </c>
      <c r="C11" s="11">
        <v>150</v>
      </c>
      <c r="D11" s="25">
        <f t="shared" si="0"/>
        <v>-144</v>
      </c>
    </row>
    <row r="12" spans="1:4" x14ac:dyDescent="0.25">
      <c r="A12" s="10">
        <v>7</v>
      </c>
      <c r="B12" s="129">
        <v>186</v>
      </c>
      <c r="C12" s="11">
        <v>150</v>
      </c>
      <c r="D12" s="25">
        <f t="shared" si="0"/>
        <v>-36</v>
      </c>
    </row>
    <row r="13" spans="1:4" x14ac:dyDescent="0.25">
      <c r="A13" s="10">
        <v>8</v>
      </c>
      <c r="B13" s="11">
        <v>183</v>
      </c>
      <c r="C13" s="11">
        <v>150</v>
      </c>
      <c r="D13" s="25">
        <f t="shared" si="0"/>
        <v>-33</v>
      </c>
    </row>
    <row r="14" spans="1:4" x14ac:dyDescent="0.25">
      <c r="A14" s="10">
        <v>9</v>
      </c>
      <c r="B14" s="11">
        <v>35</v>
      </c>
      <c r="C14" s="11">
        <v>78</v>
      </c>
      <c r="D14" s="25">
        <f t="shared" si="0"/>
        <v>43</v>
      </c>
    </row>
    <row r="15" spans="1:4" x14ac:dyDescent="0.25">
      <c r="A15" s="10">
        <v>10</v>
      </c>
      <c r="B15" s="11">
        <v>180</v>
      </c>
      <c r="C15" s="11">
        <v>78</v>
      </c>
      <c r="D15" s="25">
        <f t="shared" si="0"/>
        <v>-102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1712</v>
      </c>
      <c r="C37" s="11">
        <f>SUM(C6:C36)</f>
        <v>1274</v>
      </c>
      <c r="D37" s="25">
        <f>SUM(D6:D36)</f>
        <v>-438</v>
      </c>
    </row>
    <row r="38" spans="1:4" x14ac:dyDescent="0.25">
      <c r="A38" s="26"/>
      <c r="C38" s="14"/>
      <c r="D38" s="326">
        <f>+summary!G5</f>
        <v>2.4900000000000002</v>
      </c>
    </row>
    <row r="39" spans="1:4" x14ac:dyDescent="0.25">
      <c r="D39" s="138">
        <f>+D38*D37</f>
        <v>-1090.6200000000001</v>
      </c>
    </row>
    <row r="40" spans="1:4" x14ac:dyDescent="0.25">
      <c r="A40" s="57">
        <v>37315</v>
      </c>
      <c r="C40" s="15"/>
      <c r="D40" s="613">
        <v>172008.39</v>
      </c>
    </row>
    <row r="41" spans="1:4" x14ac:dyDescent="0.25">
      <c r="A41" s="57">
        <v>37325</v>
      </c>
      <c r="C41" s="48"/>
      <c r="D41" s="138">
        <f>+D40+D39</f>
        <v>170917.77000000002</v>
      </c>
    </row>
    <row r="42" spans="1:4" x14ac:dyDescent="0.25">
      <c r="D42" s="24"/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37315</v>
      </c>
      <c r="B46" s="32"/>
      <c r="C46" s="32"/>
      <c r="D46" s="608">
        <v>75165</v>
      </c>
    </row>
    <row r="47" spans="1:4" x14ac:dyDescent="0.25">
      <c r="A47" s="49">
        <f>+A41</f>
        <v>37325</v>
      </c>
      <c r="B47" s="32"/>
      <c r="C47" s="32"/>
      <c r="D47" s="348">
        <f>+D37</f>
        <v>-438</v>
      </c>
    </row>
    <row r="48" spans="1:4" x14ac:dyDescent="0.25">
      <c r="A48" s="32"/>
      <c r="B48" s="32"/>
      <c r="C48" s="32"/>
      <c r="D48" s="14">
        <f>+D47+D46</f>
        <v>74727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E38" sqref="E38"/>
    </sheetView>
  </sheetViews>
  <sheetFormatPr defaultRowHeight="13.2" x14ac:dyDescent="0.25"/>
  <cols>
    <col min="1" max="1" width="10.109375" bestFit="1" customWidth="1"/>
    <col min="2" max="2" width="9.88671875" bestFit="1" customWidth="1"/>
    <col min="3" max="3" width="10.6640625" bestFit="1" customWidth="1"/>
    <col min="4" max="5" width="9.88671875" bestFit="1" customWidth="1"/>
    <col min="8" max="8" width="11.44140625" customWidth="1"/>
    <col min="9" max="9" width="10" customWidth="1"/>
    <col min="14" max="14" width="9.88671875" bestFit="1" customWidth="1"/>
    <col min="15" max="15" width="12" bestFit="1" customWidth="1"/>
    <col min="16" max="16" width="10.6640625" style="259" bestFit="1" customWidth="1"/>
    <col min="17" max="17" width="8" style="405" bestFit="1" customWidth="1"/>
    <col min="18" max="18" width="11.44140625" style="259" bestFit="1" customWidth="1"/>
  </cols>
  <sheetData>
    <row r="1" spans="1:35" x14ac:dyDescent="0.25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7"/>
      <c r="R2" s="15"/>
      <c r="S2" s="32"/>
      <c r="T2" s="32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4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341465</v>
      </c>
      <c r="C4" s="11">
        <v>329748</v>
      </c>
      <c r="D4" s="11"/>
      <c r="E4" s="11">
        <v>15605</v>
      </c>
      <c r="F4" s="11">
        <v>36925</v>
      </c>
      <c r="G4" s="11">
        <v>36557</v>
      </c>
      <c r="H4" s="11">
        <v>171258</v>
      </c>
      <c r="I4" s="11">
        <v>176277</v>
      </c>
      <c r="J4" s="11">
        <f t="shared" ref="J4:J34" si="0">+C4+E4+G4+I4-H4-F4-D4-B4</f>
        <v>8539</v>
      </c>
      <c r="K4" s="31"/>
      <c r="M4" s="404" t="s">
        <v>39</v>
      </c>
      <c r="N4" s="4" t="s">
        <v>19</v>
      </c>
      <c r="O4" s="4" t="s">
        <v>20</v>
      </c>
      <c r="P4" s="402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333969</v>
      </c>
      <c r="C5" s="11">
        <v>323101</v>
      </c>
      <c r="D5" s="11"/>
      <c r="E5" s="11">
        <v>10827</v>
      </c>
      <c r="F5" s="11">
        <v>32325</v>
      </c>
      <c r="G5" s="11">
        <v>36557</v>
      </c>
      <c r="H5" s="11">
        <v>128578</v>
      </c>
      <c r="I5" s="11">
        <v>132874</v>
      </c>
      <c r="J5" s="11">
        <f t="shared" si="0"/>
        <v>8487</v>
      </c>
      <c r="M5" s="214" t="s">
        <v>247</v>
      </c>
      <c r="N5" s="14"/>
      <c r="O5" s="14"/>
      <c r="P5" s="14">
        <v>-34361</v>
      </c>
      <c r="Q5" s="357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329682</v>
      </c>
      <c r="C6" s="11">
        <v>320457</v>
      </c>
      <c r="D6" s="11"/>
      <c r="E6" s="11">
        <v>15442</v>
      </c>
      <c r="F6" s="11">
        <v>35751</v>
      </c>
      <c r="G6" s="11">
        <v>36557</v>
      </c>
      <c r="H6" s="11">
        <v>144515</v>
      </c>
      <c r="I6" s="11">
        <v>142776</v>
      </c>
      <c r="J6" s="11">
        <f t="shared" si="0"/>
        <v>5284</v>
      </c>
      <c r="M6" s="404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7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342762</v>
      </c>
      <c r="C7" s="11">
        <v>331995</v>
      </c>
      <c r="D7" s="11"/>
      <c r="E7" s="11">
        <v>15281</v>
      </c>
      <c r="F7" s="11">
        <v>37608</v>
      </c>
      <c r="G7" s="11">
        <v>36557</v>
      </c>
      <c r="H7" s="11">
        <v>142892</v>
      </c>
      <c r="I7" s="11">
        <v>142891</v>
      </c>
      <c r="J7" s="11">
        <f t="shared" si="0"/>
        <v>3462</v>
      </c>
      <c r="M7" s="404">
        <v>36892</v>
      </c>
      <c r="N7" s="24">
        <v>18949781</v>
      </c>
      <c r="O7" s="14">
        <v>18975457</v>
      </c>
      <c r="P7" s="14">
        <f t="shared" si="1"/>
        <v>25676</v>
      </c>
      <c r="Q7" s="357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356704</v>
      </c>
      <c r="C8" s="11">
        <v>341499</v>
      </c>
      <c r="D8" s="129"/>
      <c r="E8" s="11">
        <v>14075</v>
      </c>
      <c r="F8" s="11">
        <v>42720</v>
      </c>
      <c r="G8" s="11">
        <v>36557</v>
      </c>
      <c r="H8" s="129">
        <v>154730</v>
      </c>
      <c r="I8" s="11">
        <v>152625</v>
      </c>
      <c r="J8" s="11">
        <f t="shared" si="0"/>
        <v>-9398</v>
      </c>
      <c r="M8" s="404">
        <v>36923</v>
      </c>
      <c r="N8" s="24">
        <v>15256233</v>
      </c>
      <c r="O8" s="14">
        <v>15290953</v>
      </c>
      <c r="P8" s="14">
        <f t="shared" si="1"/>
        <v>34720</v>
      </c>
      <c r="Q8" s="357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347396</v>
      </c>
      <c r="C9" s="11">
        <v>339399</v>
      </c>
      <c r="D9" s="11"/>
      <c r="E9" s="11">
        <v>8714</v>
      </c>
      <c r="F9" s="11">
        <v>42100</v>
      </c>
      <c r="G9" s="11">
        <v>36557</v>
      </c>
      <c r="H9" s="11">
        <v>137236</v>
      </c>
      <c r="I9" s="11">
        <v>137167</v>
      </c>
      <c r="J9" s="11">
        <f t="shared" si="0"/>
        <v>-4895</v>
      </c>
      <c r="M9" s="404">
        <v>36951</v>
      </c>
      <c r="N9" s="24">
        <v>17049350</v>
      </c>
      <c r="O9" s="14">
        <v>17089226</v>
      </c>
      <c r="P9" s="14">
        <f t="shared" si="1"/>
        <v>39876</v>
      </c>
      <c r="Q9" s="357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311632</v>
      </c>
      <c r="C10" s="11">
        <v>306676</v>
      </c>
      <c r="D10" s="129"/>
      <c r="E10" s="11">
        <v>5665</v>
      </c>
      <c r="F10" s="129">
        <v>40058</v>
      </c>
      <c r="G10" s="11">
        <v>36557</v>
      </c>
      <c r="H10" s="129">
        <v>142439</v>
      </c>
      <c r="I10" s="11">
        <v>141867</v>
      </c>
      <c r="J10" s="11">
        <f t="shared" si="0"/>
        <v>-3364</v>
      </c>
      <c r="M10" s="404">
        <v>36982</v>
      </c>
      <c r="N10" s="24">
        <v>17652369</v>
      </c>
      <c r="O10" s="14">
        <v>17743987</v>
      </c>
      <c r="P10" s="14">
        <f t="shared" si="1"/>
        <v>91618</v>
      </c>
      <c r="Q10" s="357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324740</v>
      </c>
      <c r="C11" s="11">
        <v>325588</v>
      </c>
      <c r="D11" s="11"/>
      <c r="E11" s="11">
        <v>5802</v>
      </c>
      <c r="F11" s="11">
        <v>36491</v>
      </c>
      <c r="G11" s="11">
        <v>36557</v>
      </c>
      <c r="H11" s="11">
        <v>142898</v>
      </c>
      <c r="I11" s="11">
        <v>143630</v>
      </c>
      <c r="J11" s="11">
        <f t="shared" si="0"/>
        <v>7448</v>
      </c>
      <c r="M11" s="404">
        <v>37012</v>
      </c>
      <c r="N11" s="24">
        <v>16124989</v>
      </c>
      <c r="O11" s="14">
        <v>16282021</v>
      </c>
      <c r="P11" s="14">
        <f t="shared" si="1"/>
        <v>157032</v>
      </c>
      <c r="Q11" s="357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277846</v>
      </c>
      <c r="C12" s="11">
        <v>274739</v>
      </c>
      <c r="D12" s="11"/>
      <c r="E12" s="11">
        <v>2164</v>
      </c>
      <c r="F12" s="11">
        <v>33031</v>
      </c>
      <c r="G12" s="11">
        <v>36557</v>
      </c>
      <c r="H12" s="11">
        <v>125215</v>
      </c>
      <c r="I12" s="11">
        <v>121176</v>
      </c>
      <c r="J12" s="11">
        <f t="shared" si="0"/>
        <v>-1456</v>
      </c>
      <c r="M12" s="404">
        <v>37043</v>
      </c>
      <c r="N12" s="24">
        <v>15928675</v>
      </c>
      <c r="O12" s="14">
        <v>15936227</v>
      </c>
      <c r="P12" s="14">
        <f t="shared" si="1"/>
        <v>7552</v>
      </c>
      <c r="Q12" s="357">
        <v>2.58</v>
      </c>
      <c r="R12" s="200">
        <f t="shared" si="2"/>
        <v>19484.16</v>
      </c>
      <c r="S12" s="478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>
        <v>293086</v>
      </c>
      <c r="C13" s="11">
        <v>284913</v>
      </c>
      <c r="D13" s="129"/>
      <c r="E13" s="11">
        <v>4532</v>
      </c>
      <c r="F13" s="129">
        <v>27174</v>
      </c>
      <c r="G13" s="11">
        <v>36557</v>
      </c>
      <c r="H13" s="129">
        <v>127095</v>
      </c>
      <c r="I13" s="11">
        <v>131638</v>
      </c>
      <c r="J13" s="11">
        <f t="shared" si="0"/>
        <v>10285</v>
      </c>
      <c r="M13" s="404">
        <v>37073</v>
      </c>
      <c r="N13" s="24">
        <v>16669639</v>
      </c>
      <c r="O13" s="14">
        <v>16693576</v>
      </c>
      <c r="P13" s="14">
        <f t="shared" si="1"/>
        <v>23937</v>
      </c>
      <c r="Q13" s="357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290783</v>
      </c>
      <c r="C14" s="11">
        <v>285199</v>
      </c>
      <c r="D14" s="11"/>
      <c r="E14" s="11">
        <v>4298</v>
      </c>
      <c r="F14" s="11">
        <v>39107</v>
      </c>
      <c r="G14" s="11">
        <v>36557</v>
      </c>
      <c r="H14" s="11">
        <v>131827</v>
      </c>
      <c r="I14" s="11">
        <v>131638</v>
      </c>
      <c r="J14" s="11">
        <f t="shared" si="0"/>
        <v>-4025</v>
      </c>
      <c r="M14" s="404">
        <v>37104</v>
      </c>
      <c r="N14" s="24">
        <v>17850737</v>
      </c>
      <c r="O14" s="14">
        <v>17815859</v>
      </c>
      <c r="P14" s="14">
        <f>+O14-N14</f>
        <v>-34878</v>
      </c>
      <c r="Q14" s="357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M15" s="404">
        <v>37135</v>
      </c>
      <c r="N15" s="24">
        <v>16552948</v>
      </c>
      <c r="O15" s="14">
        <v>16508018</v>
      </c>
      <c r="P15" s="14">
        <f>+O15-N15</f>
        <v>-44930</v>
      </c>
      <c r="Q15" s="357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M16" s="404">
        <v>37165</v>
      </c>
      <c r="N16" s="24">
        <v>17924814</v>
      </c>
      <c r="O16" s="14">
        <v>17872479</v>
      </c>
      <c r="P16" s="14">
        <f>+O16-N16</f>
        <v>-52335</v>
      </c>
      <c r="Q16" s="357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04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7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04">
        <v>37229</v>
      </c>
      <c r="N18" s="24"/>
      <c r="O18" s="14"/>
      <c r="P18" s="14">
        <f>+O18-N18</f>
        <v>0</v>
      </c>
      <c r="Q18" s="357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04"/>
      <c r="N21" s="24"/>
      <c r="O21" s="14"/>
      <c r="P21" s="14">
        <f>SUM(P5:P20)</f>
        <v>135708</v>
      </c>
      <c r="Q21" s="357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04"/>
      <c r="N22" s="24"/>
      <c r="O22" s="14"/>
      <c r="P22" s="201">
        <v>1.98</v>
      </c>
      <c r="Q22" s="357"/>
      <c r="R22" s="137"/>
      <c r="S22" s="21"/>
      <c r="T22" s="104"/>
      <c r="U22" s="16"/>
      <c r="V22" s="15"/>
      <c r="W22" s="13"/>
    </row>
    <row r="23" spans="1:35" x14ac:dyDescent="0.25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04"/>
      <c r="N23" s="14">
        <v>1378106</v>
      </c>
      <c r="O23" s="14">
        <v>1316146</v>
      </c>
      <c r="P23" s="201">
        <f>+P22*P21</f>
        <v>268701.84000000003</v>
      </c>
      <c r="Q23" s="357"/>
      <c r="R23" s="47"/>
      <c r="S23" s="21"/>
      <c r="T23" s="104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04"/>
      <c r="N24" s="14">
        <v>9216070</v>
      </c>
      <c r="O24" s="14">
        <v>9272400</v>
      </c>
      <c r="P24" s="15"/>
      <c r="Q24" s="357"/>
      <c r="R24" s="15"/>
      <c r="S24" s="21"/>
      <c r="T24" s="104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04"/>
      <c r="N25" s="24">
        <v>3546065</v>
      </c>
      <c r="O25" s="24">
        <v>3512740</v>
      </c>
      <c r="P25" s="110"/>
      <c r="Q25" s="406"/>
      <c r="R25" s="110"/>
      <c r="S25" s="21"/>
      <c r="T25" s="104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06"/>
      <c r="R26" s="110"/>
      <c r="S26" s="21"/>
      <c r="T26" s="104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06"/>
      <c r="R27" s="110"/>
      <c r="S27" s="21"/>
      <c r="T27" s="104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06"/>
      <c r="R28" s="110"/>
      <c r="S28" s="21"/>
      <c r="T28" s="104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6"/>
      <c r="R29" s="110"/>
      <c r="S29" s="21"/>
      <c r="T29" s="104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6"/>
      <c r="R30" s="110"/>
      <c r="S30" s="21"/>
      <c r="T30" s="104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6"/>
      <c r="R31" s="110"/>
      <c r="S31" s="21"/>
      <c r="T31" s="104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7"/>
      <c r="R32" s="110"/>
      <c r="S32" s="21"/>
      <c r="T32" s="104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7"/>
      <c r="R33" s="110"/>
      <c r="S33" s="21"/>
      <c r="T33" s="104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7"/>
      <c r="R34" s="110"/>
      <c r="S34" s="21"/>
      <c r="T34" s="104"/>
      <c r="U34" s="16"/>
      <c r="V34" s="15"/>
      <c r="W34" s="13"/>
    </row>
    <row r="35" spans="1:23" x14ac:dyDescent="0.25">
      <c r="A35" s="10"/>
      <c r="B35" s="11">
        <f>SUM(B4:B34)</f>
        <v>3550065</v>
      </c>
      <c r="C35" s="11">
        <f t="shared" ref="C35:I35" si="3">SUM(C4:C34)</f>
        <v>3463314</v>
      </c>
      <c r="D35" s="11">
        <f t="shared" si="3"/>
        <v>0</v>
      </c>
      <c r="E35" s="11">
        <f t="shared" si="3"/>
        <v>102405</v>
      </c>
      <c r="F35" s="11">
        <f t="shared" si="3"/>
        <v>403290</v>
      </c>
      <c r="G35" s="11">
        <f t="shared" si="3"/>
        <v>402127</v>
      </c>
      <c r="H35" s="11">
        <f t="shared" si="3"/>
        <v>1548683</v>
      </c>
      <c r="I35" s="11">
        <f t="shared" si="3"/>
        <v>1554559</v>
      </c>
      <c r="J35" s="11">
        <f>SUM(J4:J34)</f>
        <v>20367</v>
      </c>
      <c r="M35" s="32"/>
      <c r="N35" s="24"/>
      <c r="O35" s="32"/>
      <c r="P35" s="15"/>
      <c r="Q35" s="357"/>
      <c r="R35" s="110"/>
      <c r="S35" s="21"/>
      <c r="T35" s="104"/>
      <c r="U35" s="16"/>
      <c r="V35" s="15"/>
      <c r="W35" s="13"/>
    </row>
    <row r="36" spans="1:23" x14ac:dyDescent="0.25">
      <c r="M36" s="32"/>
      <c r="N36" s="24"/>
      <c r="O36" s="32"/>
      <c r="P36" s="15"/>
      <c r="Q36" s="357"/>
      <c r="R36" s="110"/>
      <c r="S36" s="19"/>
      <c r="T36" s="104"/>
      <c r="U36" s="16"/>
      <c r="V36" s="15"/>
      <c r="W36" s="13"/>
    </row>
    <row r="37" spans="1:23" x14ac:dyDescent="0.25">
      <c r="H37" s="14"/>
      <c r="I37" s="14"/>
      <c r="M37" s="32"/>
      <c r="N37" s="24"/>
      <c r="O37" s="32"/>
      <c r="P37" s="15"/>
      <c r="Q37" s="357"/>
      <c r="R37" s="110"/>
      <c r="S37" s="19"/>
      <c r="T37" s="104"/>
      <c r="U37" s="16"/>
      <c r="V37" s="15"/>
      <c r="W37" s="13"/>
    </row>
    <row r="38" spans="1:23" x14ac:dyDescent="0.25">
      <c r="A38" s="56">
        <v>37315</v>
      </c>
      <c r="C38" s="25"/>
      <c r="E38" s="25"/>
      <c r="G38" s="25"/>
      <c r="I38" s="25"/>
      <c r="J38" s="564">
        <v>0</v>
      </c>
      <c r="M38" s="32"/>
      <c r="N38" s="24"/>
      <c r="O38" s="32"/>
      <c r="P38" s="15"/>
      <c r="Q38" s="357"/>
      <c r="R38" s="110"/>
      <c r="S38" s="19"/>
      <c r="T38" s="104"/>
      <c r="U38" s="16"/>
      <c r="V38" s="15"/>
      <c r="W38" s="13"/>
    </row>
    <row r="39" spans="1:23" x14ac:dyDescent="0.25">
      <c r="J39" s="24"/>
      <c r="M39" s="32"/>
      <c r="N39" s="24"/>
      <c r="O39" s="32"/>
      <c r="P39" s="15"/>
      <c r="Q39" s="357"/>
      <c r="R39" s="110"/>
      <c r="S39" s="19"/>
      <c r="T39" s="104"/>
      <c r="U39" s="16"/>
      <c r="V39" s="15"/>
      <c r="W39" s="13"/>
    </row>
    <row r="40" spans="1:23" x14ac:dyDescent="0.25">
      <c r="A40" s="33">
        <v>37326</v>
      </c>
      <c r="J40" s="51">
        <f>+J38+J35</f>
        <v>20367</v>
      </c>
      <c r="M40" s="32"/>
      <c r="N40" s="24"/>
      <c r="O40" s="32"/>
      <c r="P40" s="15"/>
      <c r="Q40" s="357"/>
      <c r="R40" s="110"/>
      <c r="S40" s="19"/>
      <c r="T40" s="104"/>
      <c r="U40" s="16"/>
      <c r="V40" s="15"/>
      <c r="W40" s="13"/>
    </row>
    <row r="41" spans="1:23" x14ac:dyDescent="0.25">
      <c r="M41" s="32"/>
      <c r="N41" s="24"/>
      <c r="O41" s="32"/>
      <c r="P41" s="15"/>
      <c r="Q41" s="357"/>
      <c r="R41" s="110"/>
      <c r="S41" s="19"/>
      <c r="T41" s="104"/>
      <c r="U41" s="16"/>
      <c r="V41" s="15"/>
      <c r="W41" s="13"/>
    </row>
    <row r="42" spans="1:23" x14ac:dyDescent="0.25">
      <c r="I42" s="32"/>
      <c r="M42" s="32"/>
      <c r="N42" s="24"/>
      <c r="O42" s="32"/>
      <c r="P42" s="15"/>
      <c r="Q42" s="357"/>
      <c r="R42" s="110"/>
      <c r="S42" s="19"/>
      <c r="T42" s="104"/>
      <c r="U42" s="16"/>
      <c r="V42" s="15"/>
      <c r="W42" s="13"/>
    </row>
    <row r="43" spans="1:23" x14ac:dyDescent="0.25">
      <c r="I43" s="32"/>
      <c r="M43" s="32"/>
      <c r="N43" s="24"/>
      <c r="O43" s="32"/>
      <c r="P43" s="15"/>
      <c r="Q43" s="357"/>
      <c r="R43" s="110"/>
      <c r="S43" s="19"/>
      <c r="T43" s="104"/>
      <c r="U43" s="16"/>
      <c r="V43" s="15"/>
      <c r="W43" s="13"/>
    </row>
    <row r="44" spans="1:23" x14ac:dyDescent="0.25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7"/>
      <c r="R44" s="110"/>
      <c r="S44" s="19"/>
      <c r="T44" s="104"/>
      <c r="U44" s="16"/>
      <c r="V44" s="15"/>
      <c r="W44" s="13"/>
    </row>
    <row r="45" spans="1:23" x14ac:dyDescent="0.25">
      <c r="A45" s="32" t="s">
        <v>149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7"/>
      <c r="R45" s="110"/>
      <c r="S45" s="19"/>
      <c r="T45" s="104"/>
      <c r="U45" s="16"/>
      <c r="V45" s="15"/>
      <c r="W45" s="13"/>
    </row>
    <row r="46" spans="1:23" x14ac:dyDescent="0.25">
      <c r="A46" s="49">
        <f>+A38</f>
        <v>37315</v>
      </c>
      <c r="B46" s="32"/>
      <c r="C46" s="32"/>
      <c r="D46" s="566">
        <v>84461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7"/>
      <c r="R46" s="110"/>
      <c r="S46" s="19"/>
      <c r="T46" s="104"/>
      <c r="U46" s="16"/>
      <c r="V46" s="15"/>
      <c r="W46" s="13"/>
    </row>
    <row r="47" spans="1:23" x14ac:dyDescent="0.25">
      <c r="A47" s="49">
        <f>+A40</f>
        <v>37326</v>
      </c>
      <c r="B47" s="32"/>
      <c r="C47" s="32"/>
      <c r="D47" s="373">
        <f>+J35*'by type_area'!G3</f>
        <v>50510.159999999996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7"/>
      <c r="R47" s="110"/>
      <c r="S47" s="19"/>
      <c r="T47" s="104"/>
      <c r="U47" s="16"/>
      <c r="V47" s="15"/>
      <c r="W47" s="13"/>
    </row>
    <row r="48" spans="1:23" x14ac:dyDescent="0.25">
      <c r="A48" s="32"/>
      <c r="B48" s="32"/>
      <c r="C48" s="32"/>
      <c r="D48" s="200">
        <f>+D47+D46</f>
        <v>134971.16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7"/>
      <c r="R48" s="15"/>
      <c r="S48" s="19"/>
      <c r="T48" s="32"/>
    </row>
    <row r="49" spans="1:20" x14ac:dyDescent="0.25">
      <c r="A49" s="139"/>
      <c r="B49" s="119"/>
      <c r="C49" s="140"/>
      <c r="D49" s="374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7"/>
      <c r="R49" s="15"/>
      <c r="S49" s="32"/>
      <c r="T49" s="32"/>
    </row>
    <row r="50" spans="1:20" x14ac:dyDescent="0.25">
      <c r="A50" s="10"/>
      <c r="B50" s="11"/>
      <c r="C50" s="11"/>
      <c r="D50" s="375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7"/>
      <c r="R50" s="15"/>
      <c r="S50" s="32"/>
      <c r="T50" s="32"/>
    </row>
    <row r="51" spans="1:20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7"/>
      <c r="R51" s="15"/>
      <c r="S51" s="32"/>
      <c r="T51" s="32"/>
    </row>
    <row r="52" spans="1:20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7"/>
      <c r="R52" s="15"/>
      <c r="S52" s="32"/>
      <c r="T52" s="32"/>
    </row>
    <row r="53" spans="1:20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7"/>
      <c r="R53" s="15"/>
      <c r="S53" s="32"/>
      <c r="T53" s="32"/>
    </row>
    <row r="54" spans="1:20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7"/>
      <c r="R54" s="15"/>
      <c r="S54" s="32"/>
      <c r="T54" s="32"/>
    </row>
    <row r="55" spans="1:20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7"/>
      <c r="R55" s="15"/>
      <c r="S55" s="32"/>
      <c r="T55" s="32"/>
    </row>
    <row r="56" spans="1:20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7"/>
      <c r="R56" s="15"/>
      <c r="S56" s="32"/>
      <c r="T56" s="32"/>
    </row>
    <row r="57" spans="1:20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7"/>
      <c r="R57" s="15"/>
      <c r="S57" s="32"/>
      <c r="T57" s="32"/>
    </row>
    <row r="58" spans="1:20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7"/>
      <c r="R58" s="15"/>
      <c r="S58" s="32"/>
      <c r="T58" s="32"/>
    </row>
    <row r="59" spans="1:20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7"/>
      <c r="R59" s="15"/>
      <c r="S59" s="32"/>
      <c r="T59" s="32"/>
    </row>
    <row r="60" spans="1:20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7"/>
      <c r="R60" s="15"/>
      <c r="S60" s="32"/>
      <c r="T60" s="32"/>
    </row>
    <row r="61" spans="1:20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7"/>
      <c r="R61" s="15"/>
      <c r="S61" s="32"/>
      <c r="T61" s="32"/>
    </row>
    <row r="62" spans="1:20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7"/>
      <c r="R62" s="15"/>
      <c r="S62" s="32"/>
      <c r="T62" s="32"/>
    </row>
    <row r="63" spans="1:20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7"/>
      <c r="R63" s="15"/>
      <c r="S63" s="32"/>
      <c r="T63" s="32"/>
    </row>
    <row r="64" spans="1:20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7"/>
      <c r="R64" s="15"/>
      <c r="S64" s="32"/>
      <c r="T64" s="32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7"/>
      <c r="R65" s="15"/>
      <c r="S65" s="32"/>
      <c r="T65" s="32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7"/>
      <c r="R66" s="15"/>
      <c r="S66" s="32"/>
      <c r="T66" s="32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7"/>
      <c r="R67" s="15"/>
      <c r="S67" s="32"/>
      <c r="T67" s="3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6"/>
      <c r="R68" s="110"/>
      <c r="S68" s="19"/>
      <c r="T68" s="138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6"/>
      <c r="R69" s="110"/>
      <c r="S69" s="19"/>
      <c r="T69" s="138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6"/>
      <c r="R70" s="110"/>
      <c r="S70" s="19"/>
      <c r="T70" s="138"/>
    </row>
    <row r="71" spans="1:20" x14ac:dyDescent="0.25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6"/>
      <c r="R71" s="110"/>
      <c r="S71" s="19"/>
      <c r="T71" s="138"/>
    </row>
    <row r="72" spans="1:20" x14ac:dyDescent="0.25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6"/>
      <c r="R72" s="110"/>
      <c r="S72" s="19"/>
      <c r="T72" s="138"/>
    </row>
    <row r="73" spans="1:20" x14ac:dyDescent="0.25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6"/>
      <c r="R73" s="110"/>
      <c r="S73" s="19"/>
      <c r="T73" s="138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6"/>
      <c r="R74" s="110"/>
      <c r="S74" s="21"/>
      <c r="T74" s="138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6"/>
      <c r="R75" s="110"/>
      <c r="S75" s="21"/>
      <c r="T75" s="138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6"/>
      <c r="R76" s="110"/>
      <c r="S76" s="21"/>
      <c r="T76" s="138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6"/>
      <c r="R77" s="110"/>
      <c r="S77" s="21"/>
      <c r="T77" s="138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6"/>
      <c r="R78" s="110"/>
      <c r="S78" s="21"/>
      <c r="T78" s="138"/>
    </row>
    <row r="79" spans="1:20" x14ac:dyDescent="0.25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6"/>
      <c r="R79" s="110"/>
      <c r="S79" s="21"/>
      <c r="T79" s="138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6"/>
      <c r="R80" s="110"/>
      <c r="S80" s="21"/>
      <c r="T80" s="138"/>
    </row>
    <row r="81" spans="1:20" x14ac:dyDescent="0.25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6"/>
      <c r="R81" s="110"/>
      <c r="S81" s="32"/>
      <c r="T81" s="138"/>
    </row>
    <row r="82" spans="1:20" x14ac:dyDescent="0.25">
      <c r="A82" s="26"/>
      <c r="K82" s="2"/>
      <c r="M82" s="101"/>
      <c r="N82" s="24"/>
      <c r="O82" s="24"/>
      <c r="P82" s="110"/>
      <c r="Q82" s="406"/>
      <c r="R82" s="110"/>
      <c r="S82" s="32"/>
      <c r="T82" s="138"/>
    </row>
    <row r="83" spans="1:20" x14ac:dyDescent="0.25">
      <c r="A83" s="26"/>
      <c r="K83" s="2"/>
      <c r="M83" s="101"/>
      <c r="N83" s="24"/>
      <c r="O83" s="24"/>
      <c r="P83" s="110"/>
      <c r="Q83" s="406"/>
      <c r="R83" s="110"/>
      <c r="S83" s="32"/>
      <c r="T83" s="138"/>
    </row>
    <row r="84" spans="1:20" x14ac:dyDescent="0.25">
      <c r="A84" s="26"/>
      <c r="K84" s="2"/>
      <c r="M84" s="101"/>
      <c r="N84" s="24"/>
      <c r="O84" s="24"/>
      <c r="P84" s="110"/>
      <c r="Q84" s="406"/>
      <c r="R84" s="110"/>
      <c r="S84" s="32"/>
      <c r="T84" s="138"/>
    </row>
    <row r="85" spans="1:20" x14ac:dyDescent="0.25">
      <c r="A85" s="26"/>
      <c r="K85" s="2"/>
      <c r="M85" s="101"/>
      <c r="N85" s="24"/>
      <c r="O85" s="24"/>
      <c r="P85" s="110"/>
      <c r="Q85" s="406"/>
      <c r="R85" s="110"/>
      <c r="S85" s="32"/>
      <c r="T85" s="138"/>
    </row>
    <row r="86" spans="1:20" x14ac:dyDescent="0.25">
      <c r="A86" s="26"/>
      <c r="K86" s="2"/>
      <c r="M86" s="101"/>
      <c r="N86" s="24"/>
      <c r="O86" s="24"/>
      <c r="P86" s="110"/>
      <c r="Q86" s="406"/>
      <c r="R86" s="110"/>
      <c r="S86" s="32"/>
      <c r="T86" s="138"/>
    </row>
    <row r="87" spans="1:20" x14ac:dyDescent="0.25">
      <c r="A87" s="26"/>
      <c r="K87" s="2"/>
      <c r="M87" s="101"/>
      <c r="N87" s="24"/>
      <c r="O87" s="24"/>
      <c r="P87" s="110"/>
      <c r="Q87" s="406"/>
      <c r="R87" s="110"/>
      <c r="S87" s="32"/>
      <c r="T87" s="138"/>
    </row>
    <row r="88" spans="1:20" x14ac:dyDescent="0.25">
      <c r="B88" s="1"/>
      <c r="D88" s="1"/>
      <c r="F88" s="1"/>
      <c r="H88" s="1"/>
      <c r="K88" s="2"/>
      <c r="M88" s="101"/>
      <c r="N88" s="24"/>
      <c r="O88" s="24"/>
      <c r="P88" s="110"/>
      <c r="Q88" s="406"/>
      <c r="R88" s="110"/>
      <c r="S88" s="32"/>
      <c r="T88" s="138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6"/>
      <c r="R89" s="110"/>
      <c r="S89" s="32"/>
      <c r="T89" s="138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7"/>
      <c r="R91" s="15"/>
      <c r="S91" s="32"/>
      <c r="T91" s="3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7"/>
      <c r="R92" s="15"/>
      <c r="S92" s="32"/>
      <c r="T92" s="3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7"/>
      <c r="R93" s="15"/>
      <c r="S93" s="32"/>
      <c r="T93" s="3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7"/>
      <c r="R94" s="15"/>
      <c r="S94" s="32"/>
      <c r="T94" s="3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7"/>
      <c r="R95" s="15"/>
      <c r="S95" s="32"/>
      <c r="T95" s="3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7"/>
      <c r="R96" s="15"/>
      <c r="S96" s="32"/>
      <c r="T96" s="32"/>
    </row>
    <row r="97" spans="1:2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7"/>
      <c r="R97" s="15"/>
      <c r="S97" s="32"/>
      <c r="T97" s="32"/>
    </row>
    <row r="98" spans="1:2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7"/>
      <c r="R98" s="15"/>
      <c r="S98" s="32"/>
      <c r="T98" s="32"/>
    </row>
    <row r="99" spans="1:2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7"/>
      <c r="R99" s="15"/>
      <c r="S99" s="32"/>
      <c r="T99" s="32"/>
    </row>
    <row r="100" spans="1:2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7"/>
      <c r="R100" s="15"/>
      <c r="S100" s="32"/>
      <c r="T100" s="32"/>
    </row>
    <row r="101" spans="1:2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7"/>
      <c r="R101" s="15"/>
      <c r="S101" s="32"/>
      <c r="T101" s="32"/>
    </row>
    <row r="102" spans="1:2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7"/>
      <c r="R102" s="15"/>
      <c r="S102" s="32"/>
      <c r="T102" s="32"/>
    </row>
    <row r="103" spans="1:2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7"/>
      <c r="R103" s="15"/>
      <c r="S103" s="32"/>
      <c r="T103" s="32"/>
    </row>
    <row r="104" spans="1:2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7"/>
      <c r="R104" s="15"/>
      <c r="S104" s="32"/>
      <c r="T104" s="32"/>
    </row>
    <row r="105" spans="1:2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7"/>
      <c r="R105" s="15"/>
      <c r="S105" s="32"/>
      <c r="T105" s="32"/>
    </row>
    <row r="106" spans="1:2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7"/>
      <c r="R106" s="15"/>
      <c r="S106" s="32"/>
      <c r="T106" s="32"/>
    </row>
    <row r="107" spans="1:2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7"/>
      <c r="R107" s="15"/>
      <c r="S107" s="32"/>
      <c r="T107" s="32"/>
    </row>
    <row r="108" spans="1:2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7"/>
      <c r="R108" s="15"/>
      <c r="S108" s="32"/>
      <c r="T108" s="32"/>
    </row>
    <row r="109" spans="1:2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7"/>
      <c r="R109" s="15"/>
      <c r="S109" s="32"/>
      <c r="T109" s="32"/>
    </row>
    <row r="110" spans="1:20" x14ac:dyDescent="0.25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5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5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407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2"/>
      <c r="Q255" s="143"/>
      <c r="R255" s="402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3"/>
      <c r="Q256" s="408"/>
      <c r="R256" s="403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6"/>
      <c r="R257" s="102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6"/>
      <c r="R258" s="102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6"/>
      <c r="R259" s="102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6"/>
      <c r="R260" s="102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6"/>
      <c r="R261" s="102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6"/>
      <c r="R262" s="102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6"/>
      <c r="R263" s="102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6"/>
      <c r="R264" s="102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6"/>
      <c r="R265" s="102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6"/>
      <c r="R266" s="102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6"/>
      <c r="R267" s="102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6"/>
      <c r="R268" s="102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6"/>
      <c r="R269" s="102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6"/>
      <c r="R270" s="102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6"/>
      <c r="R271" s="102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6"/>
      <c r="R272" s="102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6"/>
      <c r="R273" s="102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6"/>
      <c r="R274" s="102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6"/>
      <c r="R275" s="102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6"/>
      <c r="R276" s="102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6"/>
      <c r="R277" s="102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6"/>
      <c r="R278" s="102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6"/>
      <c r="R279" s="102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6"/>
      <c r="R280" s="102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6"/>
      <c r="R281" s="102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6"/>
      <c r="R282" s="102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6"/>
      <c r="R283" s="102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6"/>
      <c r="R284" s="102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6"/>
      <c r="R285" s="102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6"/>
      <c r="R286" s="102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6"/>
      <c r="R287" s="102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6"/>
      <c r="R288" s="102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407"/>
      <c r="S295" s="1"/>
    </row>
    <row r="296" spans="9:21" x14ac:dyDescent="0.25">
      <c r="K296" s="2"/>
      <c r="M296" s="30"/>
      <c r="N296" s="4"/>
      <c r="O296" s="4"/>
      <c r="P296" s="402"/>
      <c r="Q296" s="143"/>
      <c r="R296" s="402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403"/>
      <c r="Q297" s="408"/>
      <c r="R297" s="403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02"/>
      <c r="Q298" s="406"/>
      <c r="R298" s="102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02"/>
      <c r="Q299" s="406"/>
      <c r="R299" s="102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02"/>
      <c r="Q300" s="406"/>
      <c r="R300" s="102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02"/>
      <c r="Q301" s="406"/>
      <c r="R301" s="102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02"/>
      <c r="Q302" s="406"/>
      <c r="R302" s="102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02"/>
      <c r="Q303" s="406"/>
      <c r="R303" s="102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02"/>
      <c r="Q304" s="406"/>
      <c r="R304" s="102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02"/>
      <c r="Q305" s="406"/>
      <c r="R305" s="102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02"/>
      <c r="Q306" s="406"/>
      <c r="R306" s="102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02"/>
      <c r="Q307" s="406"/>
      <c r="R307" s="102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02"/>
      <c r="Q308" s="406"/>
      <c r="R308" s="102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02"/>
      <c r="Q309" s="406"/>
      <c r="R309" s="102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02"/>
      <c r="Q310" s="406"/>
      <c r="R310" s="102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02"/>
      <c r="Q311" s="406"/>
      <c r="R311" s="102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02"/>
      <c r="Q312" s="406"/>
      <c r="R312" s="102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02"/>
      <c r="Q313" s="406"/>
      <c r="R313" s="102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02"/>
      <c r="Q314" s="406"/>
      <c r="R314" s="102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02"/>
      <c r="Q315" s="406"/>
      <c r="R315" s="102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02"/>
      <c r="Q316" s="406"/>
      <c r="R316" s="102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02"/>
      <c r="Q317" s="406"/>
      <c r="R317" s="102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02"/>
      <c r="Q318" s="406"/>
      <c r="R318" s="102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02"/>
      <c r="Q319" s="406"/>
      <c r="R319" s="102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02"/>
      <c r="Q320" s="406"/>
      <c r="R320" s="102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02"/>
      <c r="Q321" s="406"/>
      <c r="R321" s="102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02"/>
      <c r="Q322" s="406"/>
      <c r="R322" s="102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02"/>
      <c r="Q323" s="406"/>
      <c r="R323" s="102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02"/>
      <c r="Q324" s="406"/>
      <c r="R324" s="102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02"/>
      <c r="Q325" s="406"/>
      <c r="R325" s="102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02"/>
      <c r="Q326" s="406"/>
      <c r="R326" s="102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02"/>
      <c r="Q327" s="406"/>
      <c r="R327" s="102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02"/>
      <c r="Q328" s="406"/>
      <c r="R328" s="102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02"/>
      <c r="Q329" s="406"/>
      <c r="R329" s="102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104"/>
      <c r="R332" s="104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407"/>
      <c r="S337" s="1"/>
    </row>
    <row r="338" spans="11:21" x14ac:dyDescent="0.25">
      <c r="K338" s="2"/>
      <c r="M338" s="30"/>
      <c r="N338" s="4"/>
      <c r="O338" s="4"/>
      <c r="P338" s="402"/>
      <c r="Q338" s="143"/>
      <c r="R338" s="402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403"/>
      <c r="Q339" s="408"/>
      <c r="R339" s="403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02"/>
      <c r="Q340" s="406"/>
      <c r="R340" s="102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02"/>
      <c r="Q341" s="406"/>
      <c r="R341" s="102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02"/>
      <c r="Q342" s="406"/>
      <c r="R342" s="102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02"/>
      <c r="Q343" s="406"/>
      <c r="R343" s="102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02"/>
      <c r="Q344" s="406"/>
      <c r="R344" s="102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02"/>
      <c r="Q345" s="406"/>
      <c r="R345" s="102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02"/>
      <c r="Q346" s="406"/>
      <c r="R346" s="102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02"/>
      <c r="Q347" s="406"/>
      <c r="R347" s="102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02"/>
      <c r="Q348" s="406"/>
      <c r="R348" s="102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02"/>
      <c r="Q349" s="406"/>
      <c r="R349" s="102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02"/>
      <c r="Q350" s="406"/>
      <c r="R350" s="102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02"/>
      <c r="Q351" s="406"/>
      <c r="R351" s="102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02"/>
      <c r="Q352" s="406"/>
      <c r="R352" s="102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02"/>
      <c r="Q353" s="406"/>
      <c r="R353" s="102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02"/>
      <c r="Q354" s="406"/>
      <c r="R354" s="102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02"/>
      <c r="Q355" s="406"/>
      <c r="R355" s="102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02"/>
      <c r="Q356" s="406"/>
      <c r="R356" s="102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02"/>
      <c r="Q357" s="406"/>
      <c r="R357" s="102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02"/>
      <c r="Q358" s="406"/>
      <c r="R358" s="102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02"/>
      <c r="Q359" s="406"/>
      <c r="R359" s="102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02"/>
      <c r="Q360" s="406"/>
      <c r="R360" s="102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02"/>
      <c r="Q361" s="406"/>
      <c r="R361" s="102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02"/>
      <c r="Q362" s="406"/>
      <c r="R362" s="102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02"/>
      <c r="Q363" s="406"/>
      <c r="R363" s="102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02"/>
      <c r="Q364" s="406"/>
      <c r="R364" s="102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02"/>
      <c r="Q365" s="406"/>
      <c r="R365" s="102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02"/>
      <c r="Q366" s="406"/>
      <c r="R366" s="102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02"/>
      <c r="Q367" s="406"/>
      <c r="R367" s="102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02"/>
      <c r="Q368" s="406"/>
      <c r="R368" s="102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02"/>
      <c r="Q369" s="406"/>
      <c r="R369" s="102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02"/>
      <c r="Q370" s="406"/>
      <c r="R370" s="102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02"/>
      <c r="Q371" s="406"/>
      <c r="R371" s="102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104"/>
      <c r="R374" s="104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407"/>
      <c r="S379" s="1"/>
    </row>
    <row r="380" spans="11:21" x14ac:dyDescent="0.25">
      <c r="K380" s="2"/>
      <c r="M380" s="30"/>
      <c r="N380" s="4"/>
      <c r="O380" s="4"/>
      <c r="P380" s="402"/>
      <c r="Q380" s="143"/>
      <c r="R380" s="402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403"/>
      <c r="Q381" s="408"/>
      <c r="R381" s="403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02"/>
      <c r="Q382" s="406"/>
      <c r="R382" s="102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02"/>
      <c r="Q383" s="406"/>
      <c r="R383" s="102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02"/>
      <c r="Q384" s="406"/>
      <c r="R384" s="102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02"/>
      <c r="Q385" s="406"/>
      <c r="R385" s="102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02"/>
      <c r="Q386" s="406"/>
      <c r="R386" s="102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02"/>
      <c r="Q387" s="406"/>
      <c r="R387" s="102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02"/>
      <c r="Q388" s="406"/>
      <c r="R388" s="102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02"/>
      <c r="Q389" s="406"/>
      <c r="R389" s="102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02"/>
      <c r="Q390" s="406"/>
      <c r="R390" s="102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02"/>
      <c r="Q391" s="406"/>
      <c r="R391" s="102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02"/>
      <c r="Q392" s="406"/>
      <c r="R392" s="102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02"/>
      <c r="Q393" s="406"/>
      <c r="R393" s="102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02"/>
      <c r="Q394" s="406"/>
      <c r="R394" s="102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02"/>
      <c r="Q395" s="406"/>
      <c r="R395" s="102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02"/>
      <c r="Q396" s="406"/>
      <c r="R396" s="102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02"/>
      <c r="Q397" s="406"/>
      <c r="R397" s="102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02"/>
      <c r="Q398" s="406"/>
      <c r="R398" s="102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02"/>
      <c r="Q399" s="406"/>
      <c r="R399" s="102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02"/>
      <c r="Q400" s="406"/>
      <c r="R400" s="102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02"/>
      <c r="Q401" s="406"/>
      <c r="R401" s="102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02"/>
      <c r="Q402" s="406"/>
      <c r="R402" s="102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02"/>
      <c r="Q403" s="406"/>
      <c r="R403" s="102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02"/>
      <c r="Q404" s="406"/>
      <c r="R404" s="102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02"/>
      <c r="Q405" s="406"/>
      <c r="R405" s="102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02"/>
      <c r="Q406" s="406"/>
      <c r="R406" s="102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02"/>
      <c r="Q407" s="406"/>
      <c r="R407" s="102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02"/>
      <c r="Q408" s="406"/>
      <c r="R408" s="102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02"/>
      <c r="Q409" s="406"/>
      <c r="R409" s="102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02"/>
      <c r="Q410" s="406"/>
      <c r="R410" s="102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02"/>
      <c r="Q411" s="406"/>
      <c r="R411" s="102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02"/>
      <c r="Q412" s="406"/>
      <c r="R412" s="102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02"/>
      <c r="Q413" s="406"/>
      <c r="R413" s="102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104"/>
      <c r="R416" s="104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407"/>
      <c r="S423" s="1"/>
    </row>
    <row r="424" spans="11:21" x14ac:dyDescent="0.25">
      <c r="K424" s="2"/>
      <c r="M424" s="30"/>
      <c r="N424" s="4"/>
      <c r="O424" s="4"/>
      <c r="P424" s="402"/>
      <c r="Q424" s="143"/>
      <c r="R424" s="402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403"/>
      <c r="Q425" s="408"/>
      <c r="R425" s="403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02"/>
      <c r="Q426" s="406"/>
      <c r="R426" s="102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02"/>
      <c r="Q427" s="406"/>
      <c r="R427" s="102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02"/>
      <c r="Q428" s="406"/>
      <c r="R428" s="102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02"/>
      <c r="Q429" s="406"/>
      <c r="R429" s="102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02"/>
      <c r="Q430" s="406"/>
      <c r="R430" s="102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02"/>
      <c r="Q431" s="406"/>
      <c r="R431" s="102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02"/>
      <c r="Q432" s="406"/>
      <c r="R432" s="102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02"/>
      <c r="Q433" s="406"/>
      <c r="R433" s="102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02"/>
      <c r="Q434" s="406"/>
      <c r="R434" s="102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02"/>
      <c r="Q435" s="406"/>
      <c r="R435" s="102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02"/>
      <c r="Q436" s="406"/>
      <c r="R436" s="102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02"/>
      <c r="Q437" s="406"/>
      <c r="R437" s="102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02"/>
      <c r="Q438" s="406"/>
      <c r="R438" s="102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02"/>
      <c r="Q439" s="406"/>
      <c r="R439" s="102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02"/>
      <c r="Q440" s="406"/>
      <c r="R440" s="102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02"/>
      <c r="Q441" s="406"/>
      <c r="R441" s="102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02"/>
      <c r="Q442" s="406"/>
      <c r="R442" s="102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02"/>
      <c r="Q443" s="406"/>
      <c r="R443" s="102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02"/>
      <c r="Q444" s="406"/>
      <c r="R444" s="102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02"/>
      <c r="Q445" s="406"/>
      <c r="R445" s="102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02"/>
      <c r="Q446" s="406"/>
      <c r="R446" s="102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02"/>
      <c r="Q447" s="406"/>
      <c r="R447" s="102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02"/>
      <c r="Q448" s="406"/>
      <c r="R448" s="102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02"/>
      <c r="Q449" s="406"/>
      <c r="R449" s="102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02"/>
      <c r="Q450" s="406"/>
      <c r="R450" s="102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02"/>
      <c r="Q451" s="406"/>
      <c r="R451" s="102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02"/>
      <c r="Q452" s="406"/>
      <c r="R452" s="102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02"/>
      <c r="Q453" s="406"/>
      <c r="R453" s="102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02"/>
      <c r="Q454" s="406"/>
      <c r="R454" s="102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02"/>
      <c r="Q455" s="406"/>
      <c r="R455" s="102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02"/>
      <c r="Q456" s="406"/>
      <c r="R456" s="102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02"/>
      <c r="Q457" s="406"/>
      <c r="R457" s="102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104"/>
      <c r="R460" s="104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407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02"/>
      <c r="Q466" s="143"/>
      <c r="R466" s="402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403"/>
      <c r="Q467" s="408"/>
      <c r="R467" s="403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02"/>
      <c r="Q468" s="406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02"/>
      <c r="Q469" s="406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02"/>
      <c r="Q470" s="406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02"/>
      <c r="Q471" s="406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02"/>
      <c r="Q472" s="406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02"/>
      <c r="Q473" s="406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02"/>
      <c r="Q474" s="406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02"/>
      <c r="Q475" s="406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02"/>
      <c r="Q476" s="406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02"/>
      <c r="Q477" s="406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02"/>
      <c r="Q478" s="406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02"/>
      <c r="Q479" s="406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02"/>
      <c r="Q480" s="406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02"/>
      <c r="Q481" s="406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02"/>
      <c r="Q482" s="406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02"/>
      <c r="Q483" s="406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02"/>
      <c r="Q484" s="406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02"/>
      <c r="Q485" s="406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02"/>
      <c r="Q486" s="406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02"/>
      <c r="Q487" s="406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02"/>
      <c r="Q488" s="406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02"/>
      <c r="Q489" s="406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02"/>
      <c r="Q490" s="406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02"/>
      <c r="Q491" s="406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02"/>
      <c r="Q492" s="406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02"/>
      <c r="Q493" s="406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02"/>
      <c r="Q494" s="406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02"/>
      <c r="Q495" s="406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02"/>
      <c r="Q496" s="406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02"/>
      <c r="Q497" s="406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02"/>
      <c r="Q498" s="406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02"/>
      <c r="Q499" s="406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207</v>
      </c>
      <c r="C3" s="87"/>
      <c r="D3" s="87"/>
    </row>
    <row r="4" spans="1:4" x14ac:dyDescent="0.25">
      <c r="A4" s="3"/>
      <c r="B4" s="328" t="s">
        <v>208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14</v>
      </c>
      <c r="C6" s="11">
        <v>429</v>
      </c>
      <c r="D6" s="25">
        <f>+C6-B6</f>
        <v>415</v>
      </c>
    </row>
    <row r="7" spans="1:4" x14ac:dyDescent="0.25">
      <c r="A7" s="10">
        <v>2</v>
      </c>
      <c r="B7" s="11">
        <v>39</v>
      </c>
      <c r="C7" s="11">
        <v>429</v>
      </c>
      <c r="D7" s="25">
        <f t="shared" ref="D7:D36" si="0">+C7-B7</f>
        <v>390</v>
      </c>
    </row>
    <row r="8" spans="1:4" x14ac:dyDescent="0.25">
      <c r="A8" s="10">
        <v>3</v>
      </c>
      <c r="B8" s="129">
        <v>3</v>
      </c>
      <c r="C8" s="11">
        <v>429</v>
      </c>
      <c r="D8" s="25">
        <f t="shared" si="0"/>
        <v>426</v>
      </c>
    </row>
    <row r="9" spans="1:4" x14ac:dyDescent="0.25">
      <c r="A9" s="10">
        <v>4</v>
      </c>
      <c r="B9" s="129"/>
      <c r="C9" s="11">
        <v>429</v>
      </c>
      <c r="D9" s="25">
        <f t="shared" si="0"/>
        <v>429</v>
      </c>
    </row>
    <row r="10" spans="1:4" x14ac:dyDescent="0.25">
      <c r="A10" s="10">
        <v>5</v>
      </c>
      <c r="B10" s="129"/>
      <c r="C10" s="11">
        <v>247</v>
      </c>
      <c r="D10" s="25">
        <f t="shared" si="0"/>
        <v>247</v>
      </c>
    </row>
    <row r="11" spans="1:4" x14ac:dyDescent="0.25">
      <c r="A11" s="10">
        <v>6</v>
      </c>
      <c r="B11" s="129"/>
      <c r="C11" s="11">
        <v>388</v>
      </c>
      <c r="D11" s="25">
        <f t="shared" si="0"/>
        <v>388</v>
      </c>
    </row>
    <row r="12" spans="1:4" x14ac:dyDescent="0.25">
      <c r="A12" s="10">
        <v>7</v>
      </c>
      <c r="B12" s="129"/>
      <c r="C12" s="11">
        <v>381</v>
      </c>
      <c r="D12" s="25">
        <f t="shared" si="0"/>
        <v>381</v>
      </c>
    </row>
    <row r="13" spans="1:4" x14ac:dyDescent="0.25">
      <c r="A13" s="10">
        <v>8</v>
      </c>
      <c r="B13" s="11"/>
      <c r="C13" s="11">
        <v>346</v>
      </c>
      <c r="D13" s="25">
        <f t="shared" si="0"/>
        <v>346</v>
      </c>
    </row>
    <row r="14" spans="1:4" x14ac:dyDescent="0.25">
      <c r="A14" s="10">
        <v>9</v>
      </c>
      <c r="B14" s="11"/>
      <c r="C14" s="11">
        <v>429</v>
      </c>
      <c r="D14" s="25">
        <f t="shared" si="0"/>
        <v>429</v>
      </c>
    </row>
    <row r="15" spans="1:4" x14ac:dyDescent="0.25">
      <c r="A15" s="10">
        <v>10</v>
      </c>
      <c r="B15" s="11"/>
      <c r="C15" s="11">
        <v>418</v>
      </c>
      <c r="D15" s="25">
        <f t="shared" si="0"/>
        <v>418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56</v>
      </c>
      <c r="C37" s="11">
        <f>SUM(C6:C36)</f>
        <v>3925</v>
      </c>
      <c r="D37" s="25">
        <f>SUM(D6:D36)</f>
        <v>3869</v>
      </c>
    </row>
    <row r="38" spans="1:4" x14ac:dyDescent="0.25">
      <c r="A38" s="26"/>
      <c r="C38" s="14"/>
      <c r="D38" s="326">
        <f>+summary!G5</f>
        <v>2.4900000000000002</v>
      </c>
    </row>
    <row r="39" spans="1:4" x14ac:dyDescent="0.25">
      <c r="D39" s="138">
        <f>+D38*D37</f>
        <v>9633.8100000000013</v>
      </c>
    </row>
    <row r="40" spans="1:4" x14ac:dyDescent="0.25">
      <c r="A40" s="57">
        <v>37315</v>
      </c>
      <c r="C40" s="15"/>
      <c r="D40" s="575">
        <v>1032</v>
      </c>
    </row>
    <row r="41" spans="1:4" x14ac:dyDescent="0.25">
      <c r="A41" s="57">
        <v>37325</v>
      </c>
      <c r="C41" s="48"/>
      <c r="D41" s="138">
        <f>+D40+D39</f>
        <v>10665.810000000001</v>
      </c>
    </row>
    <row r="42" spans="1:4" x14ac:dyDescent="0.25">
      <c r="D42" s="24"/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37315</v>
      </c>
      <c r="B46" s="32"/>
      <c r="C46" s="32"/>
      <c r="D46" s="576">
        <v>487</v>
      </c>
    </row>
    <row r="47" spans="1:4" x14ac:dyDescent="0.25">
      <c r="A47" s="49">
        <f>+A41</f>
        <v>37325</v>
      </c>
      <c r="B47" s="32"/>
      <c r="C47" s="32"/>
      <c r="D47" s="348">
        <f>+D37</f>
        <v>3869</v>
      </c>
    </row>
    <row r="48" spans="1:4" x14ac:dyDescent="0.25">
      <c r="A48" s="32"/>
      <c r="B48" s="32"/>
      <c r="C48" s="32"/>
      <c r="D48" s="14">
        <f>+D47+D46</f>
        <v>4356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D46" sqref="D46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7.44140625" style="14" bestFit="1" customWidth="1"/>
    <col min="8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4" t="s">
        <v>210</v>
      </c>
      <c r="B1" s="32"/>
      <c r="C1" s="200"/>
      <c r="O1" s="34"/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3" t="s">
        <v>212</v>
      </c>
      <c r="C3" s="208"/>
      <c r="D3" s="443" t="s">
        <v>213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/>
      <c r="B4" s="24" t="s">
        <v>211</v>
      </c>
      <c r="C4" s="32"/>
      <c r="D4" s="231" t="s">
        <v>214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-2089</v>
      </c>
      <c r="C6" s="24">
        <v>-1963</v>
      </c>
      <c r="D6" s="24">
        <v>-2500</v>
      </c>
      <c r="E6" s="24">
        <v>-2000</v>
      </c>
      <c r="F6" s="24">
        <f>+C6+E6-B6-D6</f>
        <v>626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-2301</v>
      </c>
      <c r="C7" s="24">
        <v>-1963</v>
      </c>
      <c r="D7" s="24">
        <v>-860</v>
      </c>
      <c r="E7" s="24">
        <v>-2000</v>
      </c>
      <c r="F7" s="24">
        <f t="shared" ref="F7:F36" si="0">+C7+E7-B7-D7</f>
        <v>-802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-2292</v>
      </c>
      <c r="C8" s="24">
        <v>-1963</v>
      </c>
      <c r="D8" s="24">
        <v>-955</v>
      </c>
      <c r="E8" s="24">
        <v>-2000</v>
      </c>
      <c r="F8" s="24">
        <f t="shared" si="0"/>
        <v>-716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-2253</v>
      </c>
      <c r="C9" s="24">
        <v>-1963</v>
      </c>
      <c r="D9" s="51">
        <v>-2405</v>
      </c>
      <c r="E9" s="24">
        <v>-2000</v>
      </c>
      <c r="F9" s="24">
        <f t="shared" si="0"/>
        <v>695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-1124</v>
      </c>
      <c r="C10" s="24">
        <v>-1963</v>
      </c>
      <c r="D10" s="51">
        <v>-2271</v>
      </c>
      <c r="E10" s="24">
        <v>-2000</v>
      </c>
      <c r="F10" s="24">
        <f t="shared" si="0"/>
        <v>-568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-2011</v>
      </c>
      <c r="C11" s="24">
        <v>-1963</v>
      </c>
      <c r="D11" s="24">
        <v>-2203</v>
      </c>
      <c r="E11" s="24">
        <v>-2000</v>
      </c>
      <c r="F11" s="24">
        <f t="shared" si="0"/>
        <v>251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-2399</v>
      </c>
      <c r="C12" s="24">
        <v>-1963</v>
      </c>
      <c r="D12" s="51">
        <v>-2160</v>
      </c>
      <c r="E12" s="24">
        <v>-2000</v>
      </c>
      <c r="F12" s="24">
        <f t="shared" si="0"/>
        <v>596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-2198</v>
      </c>
      <c r="C13" s="24">
        <v>-1963</v>
      </c>
      <c r="D13" s="24">
        <v>-1864</v>
      </c>
      <c r="E13" s="24">
        <v>-2000</v>
      </c>
      <c r="F13" s="24">
        <f t="shared" si="0"/>
        <v>99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-16667</v>
      </c>
      <c r="C37" s="24">
        <f>SUM(C6:C36)</f>
        <v>-15704</v>
      </c>
      <c r="D37" s="24">
        <f>SUM(D6:D36)</f>
        <v>-15218</v>
      </c>
      <c r="E37" s="24">
        <f>SUM(E6:E36)</f>
        <v>-16000</v>
      </c>
      <c r="F37" s="24">
        <f>SUM(F6:F36)</f>
        <v>181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2.48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448.88</v>
      </c>
      <c r="G39" s="44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0">
        <v>37315</v>
      </c>
      <c r="C40" s="319"/>
      <c r="D40" s="262"/>
      <c r="E40" s="262"/>
      <c r="F40" s="623">
        <f>14041.97-135014.45</f>
        <v>-120972.48000000001</v>
      </c>
      <c r="G40" s="440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0">
        <v>37323</v>
      </c>
      <c r="C41" s="319"/>
      <c r="D41" s="262"/>
      <c r="E41" s="262"/>
      <c r="F41" s="104">
        <f>+F40+F39</f>
        <v>-120523.6</v>
      </c>
      <c r="G41" s="44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37315</v>
      </c>
      <c r="B46" s="32"/>
      <c r="C46" s="32"/>
      <c r="D46" s="608">
        <f>9179-44125</f>
        <v>-34946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37323</v>
      </c>
      <c r="B47" s="32"/>
      <c r="C47" s="32"/>
      <c r="D47" s="348">
        <f>+F37</f>
        <v>181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-34765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3" workbookViewId="0">
      <selection activeCell="P40" sqref="P40"/>
    </sheetView>
  </sheetViews>
  <sheetFormatPr defaultColWidth="9.109375" defaultRowHeight="10.199999999999999" outlineLevelRow="2" x14ac:dyDescent="0.2"/>
  <cols>
    <col min="1" max="1" width="8.109375" style="2" customWidth="1"/>
    <col min="2" max="2" width="9.5546875" style="12" bestFit="1" customWidth="1"/>
    <col min="3" max="3" width="7.44140625" style="137" bestFit="1" customWidth="1"/>
    <col min="4" max="4" width="11.44140625" style="14" customWidth="1"/>
    <col min="5" max="5" width="7" style="75" bestFit="1" customWidth="1"/>
    <col min="6" max="6" width="11.6640625" style="32" customWidth="1"/>
    <col min="7" max="7" width="7" style="14" bestFit="1" customWidth="1"/>
    <col min="8" max="8" width="9.33203125" style="14" customWidth="1"/>
    <col min="9" max="9" width="7" style="14" bestFit="1" customWidth="1"/>
    <col min="10" max="10" width="10.109375" style="32" bestFit="1" customWidth="1"/>
    <col min="11" max="11" width="7" style="32" bestFit="1" customWidth="1"/>
    <col min="12" max="12" width="9.109375" style="32"/>
    <col min="13" max="13" width="7" style="32" bestFit="1" customWidth="1"/>
    <col min="14" max="14" width="9.109375" style="32"/>
    <col min="15" max="15" width="7" style="32" bestFit="1" customWidth="1"/>
    <col min="16" max="16" width="10.109375" style="32" bestFit="1" customWidth="1"/>
    <col min="17" max="17" width="13.33203125" style="32" bestFit="1" customWidth="1"/>
    <col min="18" max="18" width="14.88671875" style="32" bestFit="1" customWidth="1"/>
    <col min="19" max="19" width="12.109375" style="32" bestFit="1" customWidth="1"/>
    <col min="20" max="20" width="10.109375" style="32" bestFit="1" customWidth="1"/>
    <col min="21" max="21" width="5.44140625" style="201" bestFit="1" customWidth="1"/>
    <col min="22" max="22" width="13.44140625" style="32" customWidth="1"/>
    <col min="23" max="23" width="21.33203125" style="32" bestFit="1" customWidth="1"/>
    <col min="24" max="24" width="14.6640625" style="32" bestFit="1" customWidth="1"/>
    <col min="25" max="25" width="7.88671875" style="47" customWidth="1"/>
    <col min="26" max="26" width="16.44140625" style="32" customWidth="1"/>
    <col min="27" max="27" width="9.109375" style="32"/>
    <col min="28" max="28" width="8.44140625" style="32" customWidth="1"/>
    <col min="29" max="29" width="8.33203125" style="202" bestFit="1" customWidth="1"/>
    <col min="30" max="31" width="11.109375" style="14" bestFit="1" customWidth="1"/>
    <col min="32" max="32" width="10.44140625" style="14" bestFit="1" customWidth="1"/>
    <col min="33" max="33" width="10.109375" style="203" bestFit="1" customWidth="1"/>
    <col min="34" max="34" width="12.33203125" style="32" customWidth="1"/>
    <col min="35" max="35" width="12" style="47" bestFit="1" customWidth="1"/>
    <col min="36" max="36" width="11" style="235" bestFit="1" customWidth="1"/>
    <col min="37" max="37" width="10.44140625" style="201" bestFit="1" customWidth="1"/>
    <col min="38" max="38" width="10.109375" style="32" bestFit="1" customWidth="1"/>
    <col min="39" max="39" width="11.44140625" style="32" bestFit="1" customWidth="1"/>
    <col min="40" max="16384" width="9.109375" style="32"/>
  </cols>
  <sheetData>
    <row r="1" spans="1:43" ht="13.2" x14ac:dyDescent="0.25">
      <c r="A1" s="34" t="s">
        <v>218</v>
      </c>
      <c r="B1" s="32"/>
      <c r="C1" s="200"/>
      <c r="O1" s="34"/>
      <c r="AB1" s="38" t="s">
        <v>76</v>
      </c>
    </row>
    <row r="2" spans="1:43" ht="16.5" customHeight="1" x14ac:dyDescent="0.25">
      <c r="A2" s="153" t="s">
        <v>219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3" t="s">
        <v>220</v>
      </c>
      <c r="C3" s="208"/>
      <c r="D3" s="443" t="s">
        <v>222</v>
      </c>
      <c r="E3" s="207"/>
      <c r="F3" s="443" t="s">
        <v>224</v>
      </c>
      <c r="G3" s="207"/>
      <c r="H3" s="443" t="s">
        <v>226</v>
      </c>
      <c r="I3" s="207"/>
      <c r="J3" s="443" t="s">
        <v>228</v>
      </c>
      <c r="K3" s="207"/>
      <c r="L3" s="443" t="s">
        <v>230</v>
      </c>
      <c r="M3" s="207"/>
      <c r="N3" s="443" t="s">
        <v>232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5">
      <c r="A4" s="118"/>
      <c r="B4" s="24" t="s">
        <v>221</v>
      </c>
      <c r="C4" s="32"/>
      <c r="D4" s="231" t="s">
        <v>223</v>
      </c>
      <c r="E4" s="24"/>
      <c r="F4" s="231" t="s">
        <v>225</v>
      </c>
      <c r="G4" s="24"/>
      <c r="H4" s="231" t="s">
        <v>227</v>
      </c>
      <c r="I4" s="24"/>
      <c r="J4" s="231" t="s">
        <v>229</v>
      </c>
      <c r="K4" s="24"/>
      <c r="L4" s="231" t="s">
        <v>231</v>
      </c>
      <c r="M4" s="24"/>
      <c r="N4" s="231" t="s">
        <v>233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312</v>
      </c>
      <c r="D5" s="121" t="s">
        <v>19</v>
      </c>
      <c r="E5" s="121" t="s">
        <v>312</v>
      </c>
      <c r="F5" s="121" t="s">
        <v>19</v>
      </c>
      <c r="G5" s="121" t="s">
        <v>312</v>
      </c>
      <c r="H5" s="121" t="s">
        <v>19</v>
      </c>
      <c r="I5" s="121" t="s">
        <v>312</v>
      </c>
      <c r="J5" s="121" t="s">
        <v>19</v>
      </c>
      <c r="K5" s="121" t="s">
        <v>312</v>
      </c>
      <c r="L5" s="121" t="s">
        <v>19</v>
      </c>
      <c r="M5" s="121" t="s">
        <v>312</v>
      </c>
      <c r="N5" s="121" t="s">
        <v>19</v>
      </c>
      <c r="O5" s="121" t="s">
        <v>312</v>
      </c>
      <c r="P5" s="58" t="s">
        <v>44</v>
      </c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-3732</v>
      </c>
      <c r="C6" s="24">
        <v>-3387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320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-3770</v>
      </c>
      <c r="C7" s="24">
        <v>-3387</v>
      </c>
      <c r="D7" s="24"/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358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-3707</v>
      </c>
      <c r="C8" s="24">
        <v>-3387</v>
      </c>
      <c r="D8" s="24">
        <v>-4</v>
      </c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299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-3545</v>
      </c>
      <c r="C9" s="24">
        <v>-3387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133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-3507</v>
      </c>
      <c r="C10" s="24">
        <v>-1910</v>
      </c>
      <c r="D10" s="51">
        <v>-14</v>
      </c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1586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-3461</v>
      </c>
      <c r="C11" s="24">
        <v>-1910</v>
      </c>
      <c r="D11" s="24">
        <v>-146</v>
      </c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1672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-3404</v>
      </c>
      <c r="C12" s="24">
        <v>-1910</v>
      </c>
      <c r="D12" s="51">
        <v>-161</v>
      </c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1630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-3453</v>
      </c>
      <c r="C13" s="24">
        <v>-1910</v>
      </c>
      <c r="D13" s="24">
        <v>-165</v>
      </c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1683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-3560</v>
      </c>
      <c r="C14" s="24">
        <v>-3387</v>
      </c>
      <c r="D14" s="24">
        <v>-168</v>
      </c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316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0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4.1" customHeight="1" outlineLevel="2" x14ac:dyDescent="0.2">
      <c r="A17" s="12">
        <v>12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0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4.1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4.1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4.1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4.1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4.1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4.1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4.1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4.1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4.1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4.1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4.1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4.1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4.1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4.1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4.1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4.1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4.1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4.1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4.1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4.1" customHeight="1" x14ac:dyDescent="0.2">
      <c r="A37" s="12"/>
      <c r="B37" s="24">
        <f t="shared" ref="B37:P37" si="1">SUM(B6:B36)</f>
        <v>-32139</v>
      </c>
      <c r="C37" s="24">
        <f t="shared" si="1"/>
        <v>-24575</v>
      </c>
      <c r="D37" s="24">
        <f t="shared" si="1"/>
        <v>-658</v>
      </c>
      <c r="E37" s="24">
        <f t="shared" si="1"/>
        <v>-225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7997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4.1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2.48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4.1" customHeight="1" outlineLevel="2" x14ac:dyDescent="0.2">
      <c r="A39" s="58"/>
      <c r="E39" s="14"/>
      <c r="O39" s="440"/>
      <c r="P39" s="104">
        <f>+P38*P37</f>
        <v>19832.560000000001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4.1" customHeight="1" outlineLevel="1" x14ac:dyDescent="0.2">
      <c r="A40" s="390">
        <v>37315</v>
      </c>
      <c r="E40" s="14"/>
      <c r="O40" s="440"/>
      <c r="P40" s="602">
        <v>107666.41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4.1" customHeight="1" x14ac:dyDescent="0.2">
      <c r="A41" s="591">
        <v>37324</v>
      </c>
      <c r="E41" s="14"/>
      <c r="O41" s="440"/>
      <c r="P41" s="104">
        <f>+P40+P39</f>
        <v>127498.97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148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37315</v>
      </c>
      <c r="B46" s="32"/>
      <c r="C46" s="32"/>
      <c r="D46" s="599">
        <v>45524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37324</v>
      </c>
      <c r="B47" s="32"/>
      <c r="C47" s="32"/>
      <c r="D47" s="348">
        <f>+P37</f>
        <v>7997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53521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5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D52" s="201">
        <f>+P41/D48</f>
        <v>2.3822232394760934</v>
      </c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" customHeight="1" x14ac:dyDescent="0.3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" customHeight="1" x14ac:dyDescent="0.3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" customHeight="1" x14ac:dyDescent="0.3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" customHeight="1" x14ac:dyDescent="0.3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" customHeight="1" x14ac:dyDescent="0.3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" customHeight="1" x14ac:dyDescent="0.3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" customHeight="1" x14ac:dyDescent="0.3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" customHeight="1" x14ac:dyDescent="0.3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" customHeight="1" x14ac:dyDescent="0.3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" customHeight="1" x14ac:dyDescent="0.3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" customHeight="1" x14ac:dyDescent="0.3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" customHeight="1" x14ac:dyDescent="0.3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6" x14ac:dyDescent="0.3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6" x14ac:dyDescent="0.3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6" x14ac:dyDescent="0.3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6" x14ac:dyDescent="0.3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6" x14ac:dyDescent="0.3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6" x14ac:dyDescent="0.3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5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5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5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5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5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5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" right="0" top="0" bottom="0" header="0.5" footer="0.5"/>
  <pageSetup orientation="landscape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7" workbookViewId="0">
      <selection activeCell="C39" sqref="C39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275</v>
      </c>
      <c r="C3" s="87"/>
      <c r="D3" s="87"/>
    </row>
    <row r="4" spans="1:4" x14ac:dyDescent="0.25">
      <c r="A4" s="3"/>
      <c r="B4" s="328" t="s">
        <v>274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-14215</v>
      </c>
      <c r="C6" s="11">
        <v>-14000</v>
      </c>
      <c r="D6" s="25">
        <f>+C6-B6</f>
        <v>215</v>
      </c>
    </row>
    <row r="7" spans="1:4" x14ac:dyDescent="0.25">
      <c r="A7" s="10">
        <v>2</v>
      </c>
      <c r="B7" s="11">
        <v>-14170</v>
      </c>
      <c r="C7" s="11">
        <v>-14000</v>
      </c>
      <c r="D7" s="25">
        <f t="shared" ref="D7:D36" si="0">+C7-B7</f>
        <v>170</v>
      </c>
    </row>
    <row r="8" spans="1:4" x14ac:dyDescent="0.25">
      <c r="A8" s="10">
        <v>3</v>
      </c>
      <c r="B8" s="129">
        <v>-14559</v>
      </c>
      <c r="C8" s="11">
        <v>-14000</v>
      </c>
      <c r="D8" s="25">
        <f t="shared" si="0"/>
        <v>559</v>
      </c>
    </row>
    <row r="9" spans="1:4" x14ac:dyDescent="0.25">
      <c r="A9" s="10">
        <v>4</v>
      </c>
      <c r="B9" s="129">
        <v>-13643</v>
      </c>
      <c r="C9" s="11">
        <v>-14000</v>
      </c>
      <c r="D9" s="25">
        <f t="shared" si="0"/>
        <v>-357</v>
      </c>
    </row>
    <row r="10" spans="1:4" x14ac:dyDescent="0.25">
      <c r="A10" s="10">
        <v>5</v>
      </c>
      <c r="B10" s="129">
        <v>-29174</v>
      </c>
      <c r="C10" s="11">
        <v>-29194</v>
      </c>
      <c r="D10" s="25">
        <f t="shared" si="0"/>
        <v>-20</v>
      </c>
    </row>
    <row r="11" spans="1:4" x14ac:dyDescent="0.25">
      <c r="A11" s="10">
        <v>6</v>
      </c>
      <c r="B11" s="129">
        <v>-29132</v>
      </c>
      <c r="C11" s="11">
        <v>-28461</v>
      </c>
      <c r="D11" s="25">
        <f t="shared" si="0"/>
        <v>671</v>
      </c>
    </row>
    <row r="12" spans="1:4" x14ac:dyDescent="0.25">
      <c r="A12" s="10">
        <v>7</v>
      </c>
      <c r="B12" s="129">
        <v>-13949</v>
      </c>
      <c r="C12" s="11">
        <v>-14000</v>
      </c>
      <c r="D12" s="25">
        <f t="shared" si="0"/>
        <v>-51</v>
      </c>
    </row>
    <row r="13" spans="1:4" x14ac:dyDescent="0.25">
      <c r="A13" s="10">
        <v>8</v>
      </c>
      <c r="B13" s="11">
        <v>-14162</v>
      </c>
      <c r="C13" s="11">
        <v>-14000</v>
      </c>
      <c r="D13" s="25">
        <f t="shared" si="0"/>
        <v>162</v>
      </c>
    </row>
    <row r="14" spans="1:4" x14ac:dyDescent="0.25">
      <c r="A14" s="10">
        <v>9</v>
      </c>
      <c r="B14" s="11">
        <v>-14099</v>
      </c>
      <c r="C14" s="11">
        <v>-14000</v>
      </c>
      <c r="D14" s="25">
        <f t="shared" si="0"/>
        <v>99</v>
      </c>
    </row>
    <row r="15" spans="1:4" x14ac:dyDescent="0.25">
      <c r="A15" s="10">
        <v>10</v>
      </c>
      <c r="B15" s="11">
        <v>-14081</v>
      </c>
      <c r="C15" s="11">
        <v>-14000</v>
      </c>
      <c r="D15" s="25">
        <f t="shared" si="0"/>
        <v>81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29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-171184</v>
      </c>
      <c r="C37" s="11">
        <f>SUM(C6:C36)</f>
        <v>-169655</v>
      </c>
      <c r="D37" s="25">
        <f>SUM(D6:D36)</f>
        <v>1529</v>
      </c>
    </row>
    <row r="38" spans="1:4" x14ac:dyDescent="0.25">
      <c r="A38" s="26"/>
      <c r="C38" s="14"/>
      <c r="D38" s="326">
        <f>+summary!G4</f>
        <v>2.48</v>
      </c>
    </row>
    <row r="39" spans="1:4" x14ac:dyDescent="0.25">
      <c r="D39" s="138">
        <f>+D38*D37</f>
        <v>3791.92</v>
      </c>
    </row>
    <row r="40" spans="1:4" x14ac:dyDescent="0.25">
      <c r="A40" s="57">
        <v>37315</v>
      </c>
      <c r="C40" s="15"/>
      <c r="D40" s="613">
        <v>-15719.76</v>
      </c>
    </row>
    <row r="41" spans="1:4" x14ac:dyDescent="0.25">
      <c r="A41" s="57">
        <v>37325</v>
      </c>
      <c r="C41" s="48"/>
      <c r="D41" s="138">
        <f>+D40+D39</f>
        <v>-11927.84</v>
      </c>
    </row>
    <row r="42" spans="1:4" x14ac:dyDescent="0.25">
      <c r="D42" s="24"/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37315</v>
      </c>
      <c r="B46" s="32"/>
      <c r="C46" s="32"/>
      <c r="D46" s="608">
        <v>5419</v>
      </c>
    </row>
    <row r="47" spans="1:4" x14ac:dyDescent="0.25">
      <c r="A47" s="49">
        <f>+A41</f>
        <v>37325</v>
      </c>
      <c r="B47" s="32"/>
      <c r="C47" s="32"/>
      <c r="D47" s="348">
        <f>+D37</f>
        <v>1529</v>
      </c>
    </row>
    <row r="48" spans="1:4" x14ac:dyDescent="0.25">
      <c r="A48" s="32"/>
      <c r="B48" s="32"/>
      <c r="C48" s="32"/>
      <c r="D48" s="14">
        <f>+D47+D46</f>
        <v>6948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1"/>
  <sheetViews>
    <sheetView topLeftCell="A30" workbookViewId="0">
      <selection activeCell="D46" sqref="D46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294</v>
      </c>
      <c r="C3" s="87"/>
      <c r="D3" s="87"/>
    </row>
    <row r="4" spans="1:4" x14ac:dyDescent="0.25">
      <c r="A4" s="3"/>
      <c r="B4" s="328" t="s">
        <v>295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5" x14ac:dyDescent="0.25">
      <c r="A33" s="10">
        <v>28</v>
      </c>
      <c r="B33" s="11"/>
      <c r="C33" s="11"/>
      <c r="D33" s="25">
        <f t="shared" si="0"/>
        <v>0</v>
      </c>
    </row>
    <row r="34" spans="1:5" x14ac:dyDescent="0.25">
      <c r="A34" s="10">
        <v>29</v>
      </c>
      <c r="B34" s="11"/>
      <c r="C34" s="11"/>
      <c r="D34" s="25">
        <f t="shared" si="0"/>
        <v>0</v>
      </c>
    </row>
    <row r="35" spans="1:5" x14ac:dyDescent="0.25">
      <c r="A35" s="10">
        <v>30</v>
      </c>
      <c r="B35" s="11"/>
      <c r="C35" s="11"/>
      <c r="D35" s="25">
        <f t="shared" si="0"/>
        <v>0</v>
      </c>
    </row>
    <row r="36" spans="1:5" x14ac:dyDescent="0.25">
      <c r="A36" s="10">
        <v>31</v>
      </c>
      <c r="B36" s="11"/>
      <c r="C36" s="11"/>
      <c r="D36" s="25">
        <f t="shared" si="0"/>
        <v>0</v>
      </c>
    </row>
    <row r="37" spans="1:5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5" x14ac:dyDescent="0.25">
      <c r="A38" s="26"/>
      <c r="C38" s="14"/>
      <c r="D38" s="326">
        <f>+summary!G5</f>
        <v>2.4900000000000002</v>
      </c>
    </row>
    <row r="39" spans="1:5" x14ac:dyDescent="0.25">
      <c r="D39" s="138">
        <f>+D38*D37</f>
        <v>0</v>
      </c>
    </row>
    <row r="40" spans="1:5" x14ac:dyDescent="0.25">
      <c r="A40" s="57">
        <v>37315</v>
      </c>
      <c r="C40" s="15"/>
      <c r="D40" s="604">
        <v>69765.440000000002</v>
      </c>
    </row>
    <row r="41" spans="1:5" x14ac:dyDescent="0.25">
      <c r="A41" s="57">
        <v>37315</v>
      </c>
      <c r="C41" s="48"/>
      <c r="D41" s="138">
        <f>+D40+D39</f>
        <v>69765.440000000002</v>
      </c>
    </row>
    <row r="42" spans="1:5" x14ac:dyDescent="0.25">
      <c r="D42" s="24"/>
    </row>
    <row r="45" spans="1:5" x14ac:dyDescent="0.25">
      <c r="A45" s="32" t="s">
        <v>148</v>
      </c>
      <c r="B45" s="32"/>
      <c r="C45" s="32"/>
      <c r="D45" s="32"/>
    </row>
    <row r="46" spans="1:5" x14ac:dyDescent="0.25">
      <c r="A46" s="49">
        <f>+A40</f>
        <v>37315</v>
      </c>
      <c r="B46" s="32"/>
      <c r="C46" s="32"/>
      <c r="D46" s="599">
        <v>27486</v>
      </c>
      <c r="E46" s="577"/>
    </row>
    <row r="47" spans="1:5" x14ac:dyDescent="0.25">
      <c r="A47" s="49">
        <f>+A41</f>
        <v>37315</v>
      </c>
      <c r="B47" s="32"/>
      <c r="C47" s="32"/>
      <c r="D47" s="348">
        <f>+D37</f>
        <v>0</v>
      </c>
    </row>
    <row r="48" spans="1:5" x14ac:dyDescent="0.25">
      <c r="A48" s="32"/>
      <c r="B48" s="32"/>
      <c r="C48" s="32"/>
      <c r="D48" s="14">
        <f>+D47+D46</f>
        <v>27486</v>
      </c>
    </row>
    <row r="49" spans="1:4" x14ac:dyDescent="0.25">
      <c r="A49" s="139"/>
      <c r="B49" s="119"/>
      <c r="C49" s="140"/>
      <c r="D49" s="140"/>
    </row>
    <row r="51" spans="1:4" x14ac:dyDescent="0.25">
      <c r="D51" s="343">
        <f>+D41/D48</f>
        <v>2.5382172742487086</v>
      </c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10" workbookViewId="0">
      <selection activeCell="D48" sqref="D48"/>
    </sheetView>
  </sheetViews>
  <sheetFormatPr defaultColWidth="9.109375" defaultRowHeight="13.2" x14ac:dyDescent="0.25"/>
  <cols>
    <col min="1" max="3" width="9.109375" style="246"/>
    <col min="4" max="5" width="9.88671875" style="246" customWidth="1"/>
    <col min="6" max="7" width="9.109375" style="246"/>
    <col min="8" max="8" width="9.88671875" style="246" customWidth="1"/>
    <col min="9" max="9" width="9.33203125" style="246" customWidth="1"/>
    <col min="10" max="10" width="9.88671875" style="246" customWidth="1"/>
    <col min="11" max="11" width="9.33203125" style="246" customWidth="1"/>
    <col min="12" max="12" width="9.88671875" style="246" customWidth="1"/>
    <col min="13" max="13" width="9.33203125" style="246" customWidth="1"/>
    <col min="14" max="16384" width="9.109375" style="246"/>
  </cols>
  <sheetData>
    <row r="2" spans="1:37" x14ac:dyDescent="0.25">
      <c r="B2" s="516" t="s">
        <v>324</v>
      </c>
    </row>
    <row r="3" spans="1:37" x14ac:dyDescent="0.25">
      <c r="B3" s="462">
        <v>13202</v>
      </c>
      <c r="D3" s="462">
        <v>59362</v>
      </c>
      <c r="F3" s="462">
        <v>59330</v>
      </c>
      <c r="H3" s="462">
        <v>13195</v>
      </c>
      <c r="J3" s="462">
        <v>13196</v>
      </c>
      <c r="L3" s="462">
        <v>13204</v>
      </c>
    </row>
    <row r="4" spans="1:37" x14ac:dyDescent="0.25">
      <c r="B4" s="517" t="s">
        <v>318</v>
      </c>
      <c r="C4" s="518"/>
      <c r="D4" s="519" t="s">
        <v>319</v>
      </c>
      <c r="E4" s="518"/>
      <c r="F4" s="519" t="s">
        <v>320</v>
      </c>
      <c r="G4" s="518"/>
      <c r="H4" s="519" t="s">
        <v>321</v>
      </c>
      <c r="I4" s="518"/>
      <c r="J4" s="519" t="s">
        <v>322</v>
      </c>
      <c r="K4" s="518"/>
      <c r="L4" s="519" t="s">
        <v>323</v>
      </c>
      <c r="M4" s="518"/>
      <c r="N4" s="518"/>
    </row>
    <row r="5" spans="1:37" x14ac:dyDescent="0.25">
      <c r="A5" s="520" t="s">
        <v>10</v>
      </c>
      <c r="B5" s="463" t="s">
        <v>19</v>
      </c>
      <c r="C5" s="463" t="s">
        <v>20</v>
      </c>
      <c r="D5" s="463" t="s">
        <v>19</v>
      </c>
      <c r="E5" s="463" t="s">
        <v>20</v>
      </c>
      <c r="F5" s="463" t="s">
        <v>19</v>
      </c>
      <c r="G5" s="463" t="s">
        <v>20</v>
      </c>
      <c r="H5" s="463" t="s">
        <v>19</v>
      </c>
      <c r="I5" s="463" t="s">
        <v>20</v>
      </c>
      <c r="J5" s="463" t="s">
        <v>19</v>
      </c>
      <c r="K5" s="463" t="s">
        <v>20</v>
      </c>
      <c r="L5" s="463" t="s">
        <v>19</v>
      </c>
      <c r="M5" s="463" t="s">
        <v>20</v>
      </c>
      <c r="N5" s="463"/>
      <c r="P5" s="521"/>
      <c r="Q5" s="521"/>
      <c r="R5" s="521"/>
      <c r="S5" s="521"/>
      <c r="T5" s="521"/>
      <c r="V5" s="522"/>
      <c r="AA5" s="523"/>
      <c r="AB5" s="521"/>
      <c r="AC5" s="521"/>
      <c r="AD5" s="521"/>
      <c r="AE5" s="521"/>
      <c r="AF5" s="521"/>
      <c r="AH5" s="522"/>
    </row>
    <row r="6" spans="1:37" x14ac:dyDescent="0.25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21"/>
      <c r="Q6" s="521"/>
      <c r="R6" s="521"/>
      <c r="S6" s="521"/>
      <c r="T6" s="521"/>
      <c r="U6" s="524"/>
      <c r="V6" s="522"/>
      <c r="Y6" s="525"/>
      <c r="AA6" s="523"/>
      <c r="AB6" s="521"/>
      <c r="AC6" s="521"/>
      <c r="AD6" s="521"/>
      <c r="AE6" s="521"/>
      <c r="AF6" s="521"/>
      <c r="AG6" s="524"/>
      <c r="AH6" s="522"/>
      <c r="AK6" s="525"/>
    </row>
    <row r="7" spans="1:37" x14ac:dyDescent="0.25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26"/>
      <c r="AB7" s="527"/>
      <c r="AC7" s="527"/>
      <c r="AD7" s="527"/>
      <c r="AE7" s="527"/>
      <c r="AF7" s="527"/>
      <c r="AG7" s="19"/>
      <c r="AH7" s="528"/>
      <c r="AI7" s="252"/>
      <c r="AJ7" s="264"/>
      <c r="AK7" s="525"/>
    </row>
    <row r="8" spans="1:37" x14ac:dyDescent="0.25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27"/>
      <c r="Q8" s="527"/>
      <c r="R8" s="527"/>
      <c r="S8" s="527"/>
      <c r="T8" s="527"/>
      <c r="U8" s="19"/>
      <c r="V8" s="528"/>
      <c r="W8" s="252"/>
      <c r="X8" s="264"/>
      <c r="Y8" s="525"/>
      <c r="AA8" s="526"/>
      <c r="AB8" s="527"/>
      <c r="AC8" s="527"/>
      <c r="AD8" s="527"/>
      <c r="AE8" s="527"/>
      <c r="AF8" s="527"/>
      <c r="AG8" s="19"/>
      <c r="AH8" s="528"/>
      <c r="AI8" s="252"/>
      <c r="AJ8" s="264"/>
      <c r="AK8" s="525"/>
    </row>
    <row r="9" spans="1:37" x14ac:dyDescent="0.25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27"/>
      <c r="S9" s="28"/>
      <c r="T9" s="527"/>
      <c r="U9" s="19"/>
      <c r="V9" s="528"/>
      <c r="W9" s="252"/>
      <c r="X9" s="264"/>
      <c r="Y9" s="525"/>
      <c r="AA9" s="526"/>
      <c r="AB9" s="527"/>
      <c r="AC9" s="527"/>
      <c r="AD9" s="527"/>
      <c r="AE9" s="527"/>
      <c r="AF9" s="527"/>
      <c r="AG9" s="19"/>
      <c r="AH9" s="528"/>
      <c r="AI9" s="252"/>
      <c r="AJ9" s="264"/>
      <c r="AK9" s="525"/>
    </row>
    <row r="10" spans="1:37" x14ac:dyDescent="0.25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27"/>
      <c r="S10" s="28"/>
      <c r="T10" s="527"/>
      <c r="U10" s="19"/>
      <c r="V10" s="528"/>
      <c r="W10" s="252"/>
      <c r="X10" s="264"/>
      <c r="Y10" s="525"/>
      <c r="AA10" s="526"/>
      <c r="AB10" s="527"/>
      <c r="AC10" s="527"/>
      <c r="AD10" s="527"/>
      <c r="AE10" s="527"/>
      <c r="AF10" s="527"/>
      <c r="AG10" s="19"/>
      <c r="AH10" s="528"/>
      <c r="AI10" s="252"/>
      <c r="AJ10" s="264"/>
      <c r="AK10" s="525"/>
    </row>
    <row r="11" spans="1:37" x14ac:dyDescent="0.25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27"/>
      <c r="S11" s="28"/>
      <c r="T11" s="527"/>
      <c r="U11" s="19"/>
      <c r="V11" s="528"/>
      <c r="W11" s="252"/>
      <c r="X11" s="264"/>
      <c r="Y11" s="525"/>
      <c r="AA11" s="526"/>
      <c r="AB11" s="527"/>
      <c r="AC11" s="527"/>
      <c r="AD11" s="527"/>
      <c r="AE11" s="527"/>
      <c r="AF11" s="527"/>
      <c r="AG11" s="19"/>
      <c r="AH11" s="528"/>
      <c r="AI11" s="252"/>
      <c r="AJ11" s="264"/>
      <c r="AK11" s="525"/>
    </row>
    <row r="12" spans="1:37" x14ac:dyDescent="0.25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27"/>
      <c r="S12" s="28"/>
      <c r="T12" s="527"/>
      <c r="U12" s="19"/>
      <c r="V12" s="528"/>
      <c r="W12" s="252"/>
      <c r="X12" s="264"/>
      <c r="Y12" s="525"/>
      <c r="AA12" s="526"/>
      <c r="AB12" s="527"/>
      <c r="AC12" s="527"/>
      <c r="AD12" s="527"/>
      <c r="AE12" s="527"/>
      <c r="AF12" s="527"/>
      <c r="AG12" s="19"/>
      <c r="AH12" s="528"/>
      <c r="AI12" s="252"/>
      <c r="AJ12" s="264"/>
      <c r="AK12" s="525"/>
    </row>
    <row r="13" spans="1:37" x14ac:dyDescent="0.25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27"/>
      <c r="S13" s="529"/>
      <c r="T13" s="527"/>
      <c r="U13" s="19"/>
      <c r="V13" s="528"/>
      <c r="W13" s="252"/>
      <c r="X13" s="264"/>
      <c r="Y13" s="525"/>
      <c r="AA13" s="526"/>
      <c r="AB13" s="527"/>
      <c r="AC13" s="527"/>
      <c r="AD13" s="527"/>
      <c r="AE13" s="527"/>
      <c r="AF13" s="527"/>
      <c r="AG13" s="19"/>
      <c r="AH13" s="528"/>
      <c r="AI13" s="252"/>
      <c r="AJ13" s="264"/>
      <c r="AK13" s="525"/>
    </row>
    <row r="14" spans="1:37" x14ac:dyDescent="0.25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27"/>
      <c r="S14" s="529"/>
      <c r="T14" s="527"/>
      <c r="U14" s="19"/>
      <c r="V14" s="528"/>
      <c r="W14" s="252"/>
      <c r="X14" s="264"/>
      <c r="Y14" s="525"/>
      <c r="AA14" s="526"/>
      <c r="AB14" s="527"/>
      <c r="AC14" s="527"/>
      <c r="AD14" s="527"/>
      <c r="AE14" s="527"/>
      <c r="AF14" s="527"/>
      <c r="AG14" s="19"/>
      <c r="AH14" s="528"/>
      <c r="AI14" s="252"/>
      <c r="AJ14" s="264"/>
      <c r="AK14" s="525"/>
    </row>
    <row r="15" spans="1:37" x14ac:dyDescent="0.25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27"/>
      <c r="S15" s="529"/>
      <c r="T15" s="527"/>
      <c r="U15" s="19"/>
      <c r="V15" s="528"/>
      <c r="W15" s="252"/>
      <c r="X15" s="264"/>
      <c r="Y15" s="525"/>
      <c r="AA15" s="526"/>
      <c r="AB15" s="527"/>
      <c r="AC15" s="527"/>
      <c r="AD15" s="527"/>
      <c r="AE15" s="527"/>
      <c r="AF15" s="527"/>
      <c r="AG15" s="19"/>
      <c r="AH15" s="528"/>
      <c r="AI15" s="252"/>
      <c r="AJ15" s="264"/>
      <c r="AK15" s="525"/>
    </row>
    <row r="16" spans="1:37" x14ac:dyDescent="0.25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27"/>
      <c r="S16" s="529"/>
      <c r="T16" s="527"/>
      <c r="U16" s="19"/>
      <c r="V16" s="528"/>
      <c r="W16" s="252"/>
      <c r="X16" s="264"/>
      <c r="Y16" s="525"/>
      <c r="AA16" s="526"/>
      <c r="AB16" s="527"/>
      <c r="AC16" s="527"/>
      <c r="AD16" s="527"/>
      <c r="AE16" s="527"/>
      <c r="AF16" s="527"/>
      <c r="AG16" s="19"/>
      <c r="AH16" s="528"/>
      <c r="AI16" s="252"/>
      <c r="AJ16" s="264"/>
      <c r="AK16" s="525"/>
    </row>
    <row r="17" spans="1:37" x14ac:dyDescent="0.25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27"/>
      <c r="S17" s="529"/>
      <c r="T17" s="527"/>
      <c r="U17" s="19"/>
      <c r="V17" s="528"/>
      <c r="W17" s="252"/>
      <c r="X17" s="264"/>
      <c r="Y17" s="525"/>
      <c r="AA17" s="526"/>
      <c r="AB17" s="527"/>
      <c r="AC17" s="527"/>
      <c r="AD17" s="527"/>
      <c r="AE17" s="527"/>
      <c r="AF17" s="527"/>
      <c r="AG17" s="19"/>
      <c r="AH17" s="528"/>
      <c r="AI17" s="252"/>
      <c r="AJ17" s="264"/>
      <c r="AK17" s="525"/>
    </row>
    <row r="18" spans="1:37" x14ac:dyDescent="0.25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27"/>
      <c r="S18" s="529"/>
      <c r="T18" s="527"/>
      <c r="U18" s="19"/>
      <c r="V18" s="528"/>
      <c r="W18" s="252"/>
      <c r="X18" s="264"/>
      <c r="Y18" s="525"/>
      <c r="AA18" s="526"/>
      <c r="AB18" s="527"/>
      <c r="AF18" s="527"/>
      <c r="AG18" s="19"/>
      <c r="AH18" s="528"/>
      <c r="AI18" s="252"/>
      <c r="AJ18" s="264"/>
      <c r="AK18" s="525"/>
    </row>
    <row r="19" spans="1:37" x14ac:dyDescent="0.25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27"/>
      <c r="T19" s="527"/>
      <c r="U19" s="19"/>
      <c r="V19" s="528"/>
      <c r="W19" s="252"/>
      <c r="X19" s="264"/>
      <c r="Y19" s="525"/>
      <c r="AA19" s="526"/>
      <c r="AB19" s="527"/>
      <c r="AF19" s="527"/>
      <c r="AG19" s="19"/>
      <c r="AH19" s="528"/>
      <c r="AI19" s="252"/>
      <c r="AJ19" s="264"/>
      <c r="AK19" s="525"/>
    </row>
    <row r="20" spans="1:37" x14ac:dyDescent="0.25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27"/>
      <c r="T20" s="527"/>
      <c r="U20" s="19"/>
      <c r="V20" s="528"/>
      <c r="W20" s="252"/>
      <c r="X20" s="264"/>
      <c r="Y20" s="525"/>
      <c r="AA20" s="526"/>
      <c r="AB20" s="527"/>
      <c r="AF20" s="527"/>
      <c r="AG20" s="19"/>
      <c r="AH20" s="528"/>
      <c r="AI20" s="252"/>
      <c r="AJ20" s="264"/>
      <c r="AK20" s="525"/>
    </row>
    <row r="21" spans="1:37" x14ac:dyDescent="0.25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26"/>
      <c r="AB21" s="527"/>
      <c r="AF21" s="527"/>
      <c r="AG21" s="19"/>
      <c r="AH21" s="528"/>
      <c r="AI21" s="252"/>
      <c r="AJ21" s="264"/>
      <c r="AK21" s="525"/>
    </row>
    <row r="22" spans="1:37" x14ac:dyDescent="0.25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26"/>
      <c r="AB22" s="51"/>
      <c r="AF22" s="527"/>
      <c r="AG22" s="19"/>
      <c r="AH22" s="528"/>
      <c r="AI22" s="252"/>
      <c r="AJ22" s="264"/>
      <c r="AK22" s="525"/>
    </row>
    <row r="23" spans="1:37" x14ac:dyDescent="0.25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27"/>
      <c r="Q23" s="527"/>
      <c r="R23" s="527"/>
      <c r="S23" s="527"/>
      <c r="T23" s="527"/>
      <c r="U23" s="19"/>
      <c r="V23" s="528"/>
      <c r="W23" s="252"/>
      <c r="X23" s="264"/>
      <c r="Y23" s="525"/>
      <c r="AA23" s="526"/>
      <c r="AB23" s="51"/>
      <c r="AF23" s="527"/>
      <c r="AG23" s="19"/>
      <c r="AH23" s="528"/>
      <c r="AI23" s="252"/>
      <c r="AJ23" s="264"/>
      <c r="AK23" s="525"/>
    </row>
    <row r="24" spans="1:37" x14ac:dyDescent="0.25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27"/>
      <c r="Q24" s="527"/>
      <c r="R24" s="527"/>
      <c r="S24" s="527"/>
      <c r="T24" s="527"/>
      <c r="U24" s="19"/>
      <c r="V24" s="528"/>
      <c r="W24" s="252"/>
      <c r="X24" s="264"/>
      <c r="Y24" s="525"/>
    </row>
    <row r="25" spans="1:37" x14ac:dyDescent="0.25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27"/>
      <c r="Q25" s="527"/>
      <c r="R25" s="527"/>
      <c r="S25" s="527"/>
      <c r="T25" s="527"/>
      <c r="U25" s="19"/>
      <c r="V25" s="528"/>
      <c r="W25" s="252"/>
      <c r="X25" s="264"/>
      <c r="Y25" s="525"/>
    </row>
    <row r="26" spans="1:37" x14ac:dyDescent="0.25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27"/>
      <c r="Q26" s="527"/>
      <c r="R26" s="527"/>
      <c r="S26" s="527"/>
      <c r="T26" s="527"/>
      <c r="U26" s="19"/>
      <c r="V26" s="528"/>
      <c r="W26" s="252"/>
      <c r="X26" s="264"/>
      <c r="Y26" s="525"/>
    </row>
    <row r="27" spans="1:37" x14ac:dyDescent="0.25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27"/>
      <c r="Q27" s="527"/>
      <c r="R27" s="527"/>
      <c r="S27" s="527"/>
      <c r="T27" s="527"/>
      <c r="U27" s="19"/>
      <c r="V27" s="528"/>
      <c r="W27" s="252"/>
      <c r="X27" s="264"/>
      <c r="Y27" s="525"/>
    </row>
    <row r="28" spans="1:37" x14ac:dyDescent="0.25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27"/>
      <c r="Q28" s="527"/>
      <c r="R28" s="527"/>
      <c r="S28" s="527"/>
      <c r="T28" s="527"/>
      <c r="U28" s="19"/>
      <c r="V28" s="528"/>
      <c r="W28" s="252"/>
      <c r="X28" s="264"/>
      <c r="Y28" s="525"/>
    </row>
    <row r="29" spans="1:37" x14ac:dyDescent="0.25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27"/>
      <c r="Q29" s="527"/>
      <c r="R29" s="527"/>
      <c r="S29" s="527"/>
      <c r="T29" s="527"/>
      <c r="U29" s="19"/>
      <c r="V29" s="528"/>
      <c r="W29" s="252"/>
      <c r="X29" s="264"/>
      <c r="Y29" s="525"/>
    </row>
    <row r="30" spans="1:37" x14ac:dyDescent="0.25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27"/>
      <c r="Q30" s="527"/>
      <c r="R30" s="527"/>
      <c r="S30" s="527"/>
      <c r="T30" s="527"/>
      <c r="U30" s="19"/>
      <c r="V30" s="528"/>
      <c r="W30" s="252"/>
      <c r="X30" s="264"/>
      <c r="Y30" s="525"/>
    </row>
    <row r="31" spans="1:37" x14ac:dyDescent="0.25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27"/>
      <c r="Q31" s="527"/>
      <c r="R31" s="527"/>
      <c r="S31" s="527"/>
      <c r="T31" s="527"/>
      <c r="U31" s="19"/>
      <c r="V31" s="528"/>
      <c r="W31" s="252"/>
      <c r="X31" s="264"/>
      <c r="Y31" s="525"/>
    </row>
    <row r="32" spans="1:37" x14ac:dyDescent="0.25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27"/>
      <c r="Q32" s="527"/>
      <c r="R32" s="527"/>
      <c r="S32" s="527"/>
      <c r="T32" s="527"/>
      <c r="U32" s="19"/>
      <c r="V32" s="528"/>
      <c r="W32" s="252"/>
      <c r="X32" s="264"/>
      <c r="Y32" s="525"/>
    </row>
    <row r="33" spans="1:25" x14ac:dyDescent="0.25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27"/>
      <c r="Q33" s="527"/>
      <c r="R33" s="527"/>
      <c r="S33" s="527"/>
      <c r="T33" s="527"/>
      <c r="U33" s="19"/>
      <c r="V33" s="528"/>
      <c r="W33" s="252"/>
      <c r="X33" s="264"/>
      <c r="Y33" s="525"/>
    </row>
    <row r="34" spans="1:25" x14ac:dyDescent="0.25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27"/>
      <c r="T34" s="527"/>
      <c r="U34" s="19"/>
      <c r="V34" s="528"/>
      <c r="W34" s="252"/>
      <c r="X34" s="264"/>
      <c r="Y34" s="525"/>
    </row>
    <row r="35" spans="1:25" x14ac:dyDescent="0.25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27"/>
      <c r="T35" s="527"/>
      <c r="U35" s="19"/>
      <c r="V35" s="528"/>
      <c r="W35" s="252"/>
      <c r="X35" s="264"/>
      <c r="Y35" s="525"/>
    </row>
    <row r="36" spans="1:25" x14ac:dyDescent="0.25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27"/>
      <c r="T36" s="527"/>
      <c r="U36" s="19"/>
      <c r="V36" s="528"/>
      <c r="W36" s="252"/>
      <c r="X36" s="264"/>
      <c r="Y36" s="525"/>
    </row>
    <row r="37" spans="1:25" x14ac:dyDescent="0.25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27"/>
      <c r="T37" s="527"/>
      <c r="U37" s="19"/>
      <c r="V37" s="528"/>
      <c r="W37" s="252"/>
      <c r="X37" s="264"/>
      <c r="Y37" s="525"/>
    </row>
    <row r="38" spans="1:25" x14ac:dyDescent="0.25">
      <c r="N38" s="264">
        <f>+summary!G4</f>
        <v>2.48</v>
      </c>
      <c r="P38" s="51"/>
      <c r="T38" s="527"/>
      <c r="U38" s="19"/>
      <c r="V38" s="528"/>
      <c r="W38" s="252"/>
      <c r="X38" s="264"/>
      <c r="Y38" s="525"/>
    </row>
    <row r="39" spans="1:25" x14ac:dyDescent="0.25">
      <c r="H39" s="262"/>
      <c r="I39" s="262"/>
      <c r="J39" s="262"/>
      <c r="K39" s="262"/>
      <c r="L39" s="262"/>
      <c r="M39" s="262"/>
      <c r="N39" s="470">
        <f>+N38*N37</f>
        <v>0</v>
      </c>
      <c r="P39" s="51"/>
      <c r="T39" s="527"/>
      <c r="U39" s="19"/>
      <c r="V39" s="528"/>
      <c r="W39" s="252"/>
      <c r="X39" s="264"/>
      <c r="Y39" s="525"/>
    </row>
    <row r="40" spans="1:25" x14ac:dyDescent="0.25">
      <c r="N40" s="329"/>
      <c r="P40" s="527"/>
      <c r="T40" s="527"/>
      <c r="U40" s="19"/>
      <c r="V40" s="528"/>
      <c r="W40" s="252"/>
      <c r="X40" s="264"/>
      <c r="Y40" s="525"/>
    </row>
    <row r="41" spans="1:25" x14ac:dyDescent="0.25">
      <c r="A41" s="263">
        <v>37315</v>
      </c>
      <c r="C41" s="131"/>
      <c r="E41" s="131"/>
      <c r="G41" s="131"/>
      <c r="I41" s="131"/>
      <c r="K41" s="131"/>
      <c r="M41" s="131"/>
      <c r="N41" s="614">
        <v>66185.02</v>
      </c>
      <c r="P41" s="527"/>
      <c r="T41" s="527"/>
      <c r="U41" s="19"/>
      <c r="V41" s="528"/>
      <c r="W41" s="252"/>
      <c r="X41" s="264"/>
      <c r="Y41" s="525"/>
    </row>
    <row r="42" spans="1:25" x14ac:dyDescent="0.25">
      <c r="N42" s="319"/>
      <c r="P42" s="527"/>
      <c r="T42" s="527"/>
      <c r="U42" s="19"/>
      <c r="V42" s="528"/>
      <c r="W42" s="252"/>
      <c r="X42" s="264"/>
      <c r="Y42" s="525"/>
    </row>
    <row r="43" spans="1:25" x14ac:dyDescent="0.25">
      <c r="A43" s="263">
        <v>37315</v>
      </c>
      <c r="N43" s="319">
        <f>+N41+N39</f>
        <v>66185.02</v>
      </c>
      <c r="P43" s="527"/>
      <c r="T43" s="527"/>
      <c r="U43" s="19"/>
      <c r="V43" s="528"/>
      <c r="W43" s="252"/>
      <c r="X43" s="264"/>
      <c r="Y43" s="525"/>
    </row>
    <row r="44" spans="1:25" x14ac:dyDescent="0.25">
      <c r="N44" s="329"/>
      <c r="P44" s="527"/>
      <c r="T44" s="527"/>
      <c r="U44" s="19"/>
      <c r="V44" s="528"/>
      <c r="W44" s="252"/>
      <c r="X44" s="264"/>
      <c r="Y44" s="525"/>
    </row>
    <row r="45" spans="1:25" x14ac:dyDescent="0.25">
      <c r="P45" s="527"/>
      <c r="T45" s="527"/>
      <c r="U45" s="19"/>
      <c r="V45" s="528"/>
      <c r="W45" s="252"/>
      <c r="X45" s="264"/>
      <c r="Y45" s="525"/>
    </row>
    <row r="46" spans="1:25" x14ac:dyDescent="0.25">
      <c r="B46" s="462"/>
      <c r="D46" s="462"/>
      <c r="F46" s="462"/>
      <c r="H46" s="462"/>
      <c r="J46" s="462"/>
      <c r="L46" s="462"/>
      <c r="O46" s="526"/>
      <c r="P46" s="51"/>
      <c r="T46" s="527"/>
      <c r="U46" s="19"/>
      <c r="V46" s="528"/>
      <c r="W46" s="252"/>
      <c r="X46" s="264"/>
      <c r="Y46" s="525"/>
    </row>
    <row r="47" spans="1:25" x14ac:dyDescent="0.25">
      <c r="A47" s="249" t="s">
        <v>148</v>
      </c>
      <c r="B47" s="249"/>
      <c r="C47" s="249"/>
      <c r="D47" s="249"/>
      <c r="E47" s="518"/>
      <c r="F47" s="518"/>
      <c r="G47" s="518"/>
      <c r="H47" s="518"/>
      <c r="I47" s="518"/>
      <c r="J47" s="518"/>
      <c r="K47" s="518"/>
      <c r="L47" s="518"/>
      <c r="M47" s="518"/>
      <c r="N47" s="518"/>
      <c r="O47" s="526"/>
      <c r="P47" s="51"/>
      <c r="T47" s="527"/>
      <c r="U47" s="19"/>
      <c r="V47" s="528"/>
      <c r="W47" s="252"/>
      <c r="X47" s="264"/>
      <c r="Y47" s="525"/>
    </row>
    <row r="48" spans="1:25" x14ac:dyDescent="0.25">
      <c r="A48" s="530">
        <f>+A41</f>
        <v>37315</v>
      </c>
      <c r="B48" s="249"/>
      <c r="C48" s="249"/>
      <c r="D48" s="608">
        <v>23662</v>
      </c>
      <c r="E48" s="463"/>
      <c r="F48" s="463"/>
      <c r="G48" s="463"/>
      <c r="H48" s="463"/>
      <c r="I48" s="463"/>
      <c r="J48" s="463"/>
      <c r="K48" s="463"/>
      <c r="L48" s="463"/>
      <c r="M48" s="463"/>
      <c r="N48" s="463"/>
      <c r="O48" s="526"/>
      <c r="T48" s="527"/>
      <c r="U48" s="19"/>
      <c r="V48" s="528"/>
      <c r="W48" s="252"/>
      <c r="X48" s="264"/>
      <c r="Y48" s="525"/>
    </row>
    <row r="49" spans="1:25" x14ac:dyDescent="0.25">
      <c r="A49" s="530">
        <f>+A43</f>
        <v>37315</v>
      </c>
      <c r="B49" s="249"/>
      <c r="C49" s="249"/>
      <c r="D49" s="456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26"/>
      <c r="T49" s="527"/>
      <c r="U49" s="19"/>
      <c r="V49" s="528"/>
      <c r="W49" s="252"/>
      <c r="X49" s="264"/>
      <c r="Y49" s="525"/>
    </row>
    <row r="50" spans="1:25" x14ac:dyDescent="0.25">
      <c r="A50" s="249"/>
      <c r="B50" s="249"/>
      <c r="C50" s="249"/>
      <c r="D50" s="262">
        <f>+D49+D48</f>
        <v>23662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26"/>
      <c r="U50" s="19"/>
    </row>
    <row r="51" spans="1:25" x14ac:dyDescent="0.25">
      <c r="A51" s="531"/>
      <c r="B51" s="532"/>
      <c r="C51" s="475"/>
      <c r="D51" s="475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26"/>
    </row>
    <row r="52" spans="1:25" x14ac:dyDescent="0.25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26"/>
    </row>
    <row r="53" spans="1:25" x14ac:dyDescent="0.25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26"/>
    </row>
    <row r="54" spans="1:25" x14ac:dyDescent="0.25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26"/>
    </row>
    <row r="55" spans="1:25" x14ac:dyDescent="0.25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26"/>
    </row>
    <row r="56" spans="1:25" x14ac:dyDescent="0.25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26"/>
    </row>
    <row r="57" spans="1:25" x14ac:dyDescent="0.25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26"/>
    </row>
    <row r="58" spans="1:25" x14ac:dyDescent="0.25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26"/>
    </row>
    <row r="59" spans="1:25" x14ac:dyDescent="0.25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26"/>
    </row>
    <row r="60" spans="1:25" x14ac:dyDescent="0.25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26"/>
    </row>
    <row r="61" spans="1:25" x14ac:dyDescent="0.25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26"/>
    </row>
    <row r="62" spans="1:25" x14ac:dyDescent="0.25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26"/>
    </row>
    <row r="63" spans="1:25" x14ac:dyDescent="0.25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26"/>
    </row>
    <row r="64" spans="1:25" x14ac:dyDescent="0.25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26"/>
    </row>
    <row r="65" spans="1:22" x14ac:dyDescent="0.25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26"/>
    </row>
    <row r="66" spans="1:22" x14ac:dyDescent="0.25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26"/>
    </row>
    <row r="67" spans="1:22" x14ac:dyDescent="0.25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26"/>
    </row>
    <row r="68" spans="1:22" x14ac:dyDescent="0.25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26"/>
    </row>
    <row r="69" spans="1:22" x14ac:dyDescent="0.25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5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26"/>
      <c r="P70" s="527"/>
      <c r="Q70" s="527"/>
      <c r="R70" s="527"/>
      <c r="S70" s="527"/>
      <c r="T70" s="527"/>
      <c r="U70" s="28"/>
      <c r="V70" s="533"/>
    </row>
    <row r="71" spans="1:22" x14ac:dyDescent="0.25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26"/>
      <c r="P71" s="527"/>
      <c r="Q71" s="527"/>
      <c r="R71" s="527"/>
      <c r="S71" s="527"/>
      <c r="T71" s="527"/>
      <c r="U71" s="28"/>
      <c r="V71" s="533"/>
    </row>
    <row r="72" spans="1:22" x14ac:dyDescent="0.25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26"/>
      <c r="P72" s="527"/>
      <c r="Q72" s="527"/>
      <c r="R72" s="527"/>
      <c r="S72" s="527"/>
      <c r="T72" s="527"/>
      <c r="U72" s="28"/>
      <c r="V72" s="533"/>
    </row>
    <row r="73" spans="1:22" x14ac:dyDescent="0.25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26"/>
      <c r="P73" s="527"/>
      <c r="Q73" s="527"/>
      <c r="R73" s="527"/>
      <c r="S73" s="527"/>
      <c r="T73" s="527"/>
      <c r="U73" s="28"/>
      <c r="V73" s="533"/>
    </row>
    <row r="74" spans="1:22" x14ac:dyDescent="0.25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26"/>
      <c r="P74" s="527"/>
      <c r="Q74" s="527"/>
      <c r="R74" s="527"/>
      <c r="S74" s="527"/>
      <c r="T74" s="527"/>
      <c r="U74" s="28"/>
      <c r="V74" s="533"/>
    </row>
    <row r="75" spans="1:22" x14ac:dyDescent="0.25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26"/>
      <c r="P75" s="527"/>
      <c r="Q75" s="527"/>
      <c r="R75" s="527"/>
      <c r="S75" s="527"/>
      <c r="T75" s="527"/>
      <c r="U75" s="28"/>
      <c r="V75" s="533"/>
    </row>
    <row r="76" spans="1:22" x14ac:dyDescent="0.25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26"/>
      <c r="P76" s="527"/>
      <c r="Q76" s="527"/>
      <c r="R76" s="527"/>
      <c r="S76" s="527"/>
      <c r="T76" s="527"/>
      <c r="U76" s="28"/>
      <c r="V76" s="533"/>
    </row>
    <row r="77" spans="1:22" x14ac:dyDescent="0.25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26"/>
      <c r="P77" s="527"/>
      <c r="Q77" s="527"/>
      <c r="R77" s="527"/>
      <c r="S77" s="527"/>
      <c r="T77" s="527"/>
      <c r="U77" s="28"/>
      <c r="V77" s="533"/>
    </row>
    <row r="78" spans="1:22" x14ac:dyDescent="0.25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26"/>
      <c r="P78" s="527"/>
      <c r="Q78" s="527"/>
      <c r="R78" s="527"/>
      <c r="S78" s="527"/>
      <c r="T78" s="527"/>
      <c r="U78" s="28"/>
      <c r="V78" s="533"/>
    </row>
    <row r="79" spans="1:22" x14ac:dyDescent="0.25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26"/>
      <c r="P79" s="527"/>
      <c r="Q79" s="527"/>
      <c r="R79" s="527"/>
      <c r="S79" s="527"/>
      <c r="T79" s="527"/>
      <c r="U79" s="28"/>
      <c r="V79" s="533"/>
    </row>
    <row r="80" spans="1:22" x14ac:dyDescent="0.25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26"/>
      <c r="P80" s="527"/>
      <c r="Q80" s="527"/>
      <c r="R80" s="527"/>
      <c r="S80" s="527"/>
      <c r="T80" s="527"/>
      <c r="U80" s="28"/>
      <c r="V80" s="533"/>
    </row>
    <row r="81" spans="1:22" x14ac:dyDescent="0.25">
      <c r="A81" s="261"/>
      <c r="C81" s="131"/>
      <c r="E81" s="131"/>
      <c r="G81" s="131"/>
      <c r="I81" s="131"/>
      <c r="K81" s="131"/>
      <c r="M81" s="131"/>
      <c r="O81" s="526"/>
      <c r="P81" s="527"/>
      <c r="Q81" s="527"/>
      <c r="R81" s="527"/>
      <c r="S81" s="527"/>
      <c r="T81" s="527"/>
      <c r="U81" s="28"/>
      <c r="V81" s="533"/>
    </row>
    <row r="82" spans="1:22" x14ac:dyDescent="0.25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26"/>
      <c r="P82" s="527"/>
      <c r="Q82" s="527"/>
      <c r="R82" s="527"/>
      <c r="S82" s="527"/>
      <c r="T82" s="527"/>
      <c r="U82" s="28"/>
      <c r="V82" s="533"/>
    </row>
    <row r="83" spans="1:22" x14ac:dyDescent="0.25">
      <c r="A83" s="261"/>
      <c r="C83" s="131"/>
      <c r="E83" s="131"/>
      <c r="H83" s="534"/>
      <c r="I83" s="534"/>
      <c r="J83" s="534"/>
      <c r="K83" s="534"/>
      <c r="L83" s="534"/>
      <c r="M83" s="534"/>
      <c r="N83" s="131"/>
      <c r="O83" s="526"/>
      <c r="P83" s="527"/>
      <c r="Q83" s="527"/>
      <c r="R83" s="527"/>
      <c r="S83" s="527"/>
      <c r="T83" s="527"/>
      <c r="V83" s="533"/>
    </row>
    <row r="84" spans="1:22" x14ac:dyDescent="0.25">
      <c r="A84" s="261"/>
      <c r="O84" s="526"/>
      <c r="P84" s="527"/>
      <c r="Q84" s="527"/>
      <c r="R84" s="527"/>
      <c r="S84" s="527"/>
      <c r="T84" s="527"/>
      <c r="V84" s="533"/>
    </row>
    <row r="85" spans="1:22" x14ac:dyDescent="0.25">
      <c r="A85" s="261"/>
      <c r="O85" s="526"/>
      <c r="P85" s="527"/>
      <c r="Q85" s="527"/>
      <c r="R85" s="527"/>
      <c r="S85" s="527"/>
      <c r="T85" s="527"/>
      <c r="V85" s="533"/>
    </row>
    <row r="86" spans="1:22" x14ac:dyDescent="0.25">
      <c r="A86" s="261"/>
      <c r="O86" s="526"/>
      <c r="P86" s="527"/>
      <c r="Q86" s="527"/>
      <c r="R86" s="527"/>
      <c r="S86" s="527"/>
      <c r="T86" s="527"/>
      <c r="V86" s="533"/>
    </row>
    <row r="87" spans="1:22" x14ac:dyDescent="0.25">
      <c r="A87" s="261"/>
      <c r="O87" s="526"/>
      <c r="P87" s="527"/>
      <c r="Q87" s="527"/>
      <c r="R87" s="527"/>
      <c r="S87" s="527"/>
      <c r="T87" s="527"/>
      <c r="V87" s="533"/>
    </row>
    <row r="88" spans="1:22" x14ac:dyDescent="0.25">
      <c r="A88" s="261"/>
      <c r="O88" s="526"/>
      <c r="P88" s="527"/>
      <c r="Q88" s="527"/>
      <c r="R88" s="527"/>
      <c r="S88" s="527"/>
      <c r="T88" s="527"/>
      <c r="V88" s="533"/>
    </row>
    <row r="89" spans="1:22" x14ac:dyDescent="0.25">
      <c r="A89" s="261"/>
      <c r="O89" s="526"/>
      <c r="P89" s="527"/>
      <c r="Q89" s="527"/>
      <c r="R89" s="527"/>
      <c r="S89" s="527"/>
      <c r="T89" s="527"/>
      <c r="V89" s="533"/>
    </row>
    <row r="90" spans="1:22" x14ac:dyDescent="0.25">
      <c r="B90" s="462"/>
      <c r="D90" s="462"/>
      <c r="F90" s="462"/>
      <c r="H90" s="462"/>
      <c r="J90" s="462"/>
      <c r="L90" s="462"/>
      <c r="O90" s="526"/>
      <c r="P90" s="527"/>
      <c r="Q90" s="527"/>
      <c r="R90" s="527"/>
      <c r="S90" s="527"/>
      <c r="T90" s="527"/>
      <c r="V90" s="533"/>
    </row>
    <row r="91" spans="1:22" x14ac:dyDescent="0.25">
      <c r="A91" s="535"/>
      <c r="B91" s="518"/>
      <c r="C91" s="518"/>
      <c r="D91" s="518"/>
      <c r="E91" s="518"/>
      <c r="F91" s="518"/>
      <c r="G91" s="518"/>
      <c r="H91" s="518"/>
      <c r="I91" s="518"/>
      <c r="J91" s="518"/>
      <c r="K91" s="518"/>
      <c r="L91" s="518"/>
      <c r="M91" s="518"/>
      <c r="N91" s="518"/>
      <c r="O91" s="526"/>
      <c r="P91" s="527"/>
      <c r="Q91" s="527"/>
      <c r="R91" s="527"/>
      <c r="S91" s="527"/>
      <c r="T91" s="527"/>
      <c r="V91" s="533"/>
    </row>
    <row r="92" spans="1:22" x14ac:dyDescent="0.25">
      <c r="A92" s="520"/>
      <c r="B92" s="463"/>
      <c r="C92" s="463"/>
      <c r="D92" s="463"/>
      <c r="E92" s="463"/>
      <c r="F92" s="463"/>
      <c r="G92" s="463"/>
      <c r="H92" s="463"/>
      <c r="I92" s="463"/>
      <c r="J92" s="463"/>
      <c r="K92" s="463"/>
      <c r="L92" s="463"/>
      <c r="M92" s="463"/>
      <c r="N92" s="463"/>
      <c r="O92" s="526"/>
      <c r="P92" s="534"/>
      <c r="Q92" s="534"/>
      <c r="R92" s="534"/>
      <c r="S92" s="534"/>
      <c r="T92" s="534"/>
      <c r="V92" s="521"/>
    </row>
    <row r="93" spans="1:22" x14ac:dyDescent="0.25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5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5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5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5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5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5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5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5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5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5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5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5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5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5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5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5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5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5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5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5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5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5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5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5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5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5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5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5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5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5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5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5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5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5">
      <c r="A127" s="261"/>
      <c r="C127" s="131"/>
      <c r="E127" s="131"/>
      <c r="H127" s="534"/>
      <c r="I127" s="534"/>
      <c r="J127" s="534"/>
      <c r="K127" s="534"/>
      <c r="L127" s="534"/>
      <c r="M127" s="534"/>
      <c r="N127" s="131"/>
    </row>
    <row r="128" spans="1:14" x14ac:dyDescent="0.25">
      <c r="A128" s="261"/>
    </row>
    <row r="129" spans="1:14" x14ac:dyDescent="0.25">
      <c r="B129" s="462"/>
      <c r="D129" s="462"/>
      <c r="F129" s="462"/>
      <c r="H129" s="462"/>
      <c r="J129" s="462"/>
      <c r="L129" s="462"/>
    </row>
    <row r="130" spans="1:14" x14ac:dyDescent="0.25">
      <c r="B130" s="517"/>
      <c r="C130" s="518"/>
      <c r="D130" s="518"/>
      <c r="E130" s="518"/>
      <c r="F130" s="518"/>
      <c r="G130" s="518"/>
      <c r="H130" s="518"/>
      <c r="I130" s="518"/>
      <c r="J130" s="518"/>
      <c r="K130" s="518"/>
      <c r="L130" s="518"/>
      <c r="M130" s="518"/>
      <c r="N130" s="518"/>
    </row>
    <row r="131" spans="1:14" x14ac:dyDescent="0.25">
      <c r="A131" s="520"/>
      <c r="B131" s="463"/>
      <c r="C131" s="463"/>
      <c r="D131" s="463"/>
      <c r="E131" s="463"/>
      <c r="F131" s="463"/>
      <c r="G131" s="463"/>
      <c r="H131" s="463"/>
      <c r="I131" s="463"/>
      <c r="J131" s="463"/>
      <c r="K131" s="463"/>
      <c r="L131" s="463"/>
      <c r="M131" s="463"/>
      <c r="N131" s="463"/>
    </row>
    <row r="132" spans="1:14" x14ac:dyDescent="0.25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5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5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5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5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5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5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5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5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5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5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5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5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5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5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5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5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5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5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5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5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5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5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5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5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5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5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5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5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5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5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5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5">
      <c r="I166" s="536"/>
      <c r="K166" s="536"/>
      <c r="M166" s="536"/>
      <c r="N166" s="51"/>
    </row>
    <row r="167" spans="1:14" x14ac:dyDescent="0.25">
      <c r="N167" s="51"/>
    </row>
    <row r="171" spans="1:14" x14ac:dyDescent="0.25">
      <c r="B171" s="462"/>
      <c r="D171" s="462"/>
      <c r="F171" s="462"/>
      <c r="H171" s="462"/>
      <c r="J171" s="462"/>
      <c r="L171" s="462"/>
    </row>
    <row r="172" spans="1:14" x14ac:dyDescent="0.25">
      <c r="B172" s="517"/>
      <c r="C172" s="518"/>
      <c r="D172" s="518"/>
      <c r="E172" s="518"/>
      <c r="F172" s="518"/>
      <c r="G172" s="518"/>
      <c r="H172" s="518"/>
      <c r="I172" s="518"/>
      <c r="J172" s="518"/>
      <c r="K172" s="518"/>
      <c r="L172" s="518"/>
      <c r="M172" s="518"/>
    </row>
    <row r="173" spans="1:14" x14ac:dyDescent="0.25">
      <c r="A173" s="520"/>
      <c r="B173" s="463"/>
      <c r="C173" s="463"/>
      <c r="D173" s="463"/>
      <c r="E173" s="463"/>
      <c r="F173" s="463"/>
      <c r="G173" s="463"/>
      <c r="H173" s="463"/>
      <c r="I173" s="463"/>
      <c r="J173" s="463"/>
      <c r="K173" s="463"/>
      <c r="L173" s="463"/>
      <c r="M173" s="463"/>
    </row>
    <row r="174" spans="1:14" x14ac:dyDescent="0.25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5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5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5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5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5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5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5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5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5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5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5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5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5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5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5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5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5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5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5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5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5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5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5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5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5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5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5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5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5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5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5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5">
      <c r="I208" s="536"/>
      <c r="K208" s="536"/>
      <c r="M208" s="536"/>
    </row>
    <row r="214" spans="1:13" x14ac:dyDescent="0.25">
      <c r="B214" s="462"/>
      <c r="D214" s="462"/>
      <c r="F214" s="462"/>
      <c r="H214" s="462"/>
      <c r="J214" s="462"/>
      <c r="L214" s="462"/>
    </row>
    <row r="215" spans="1:13" x14ac:dyDescent="0.25">
      <c r="B215" s="517"/>
      <c r="C215" s="518"/>
      <c r="D215" s="518"/>
      <c r="E215" s="518"/>
      <c r="F215" s="518"/>
      <c r="G215" s="518"/>
      <c r="H215" s="518"/>
      <c r="I215" s="518"/>
      <c r="J215" s="518"/>
      <c r="K215" s="518"/>
      <c r="L215" s="518"/>
      <c r="M215" s="518"/>
    </row>
    <row r="216" spans="1:13" x14ac:dyDescent="0.25">
      <c r="A216" s="520"/>
      <c r="B216" s="463"/>
      <c r="C216" s="463"/>
      <c r="D216" s="463"/>
      <c r="E216" s="463"/>
      <c r="F216" s="463"/>
      <c r="G216" s="463"/>
      <c r="H216" s="463"/>
      <c r="I216" s="463"/>
      <c r="J216" s="463"/>
      <c r="K216" s="463"/>
      <c r="L216" s="463"/>
      <c r="M216" s="463"/>
    </row>
    <row r="217" spans="1:13" x14ac:dyDescent="0.25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5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5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5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5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5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5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5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5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5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5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5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5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5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5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5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5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5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5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5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5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5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5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5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5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5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5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5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5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5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5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5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5">
      <c r="I251" s="536"/>
      <c r="K251" s="536"/>
      <c r="M251" s="536"/>
    </row>
    <row r="256" spans="1:21" x14ac:dyDescent="0.25">
      <c r="B256" s="462"/>
      <c r="D256" s="462"/>
      <c r="F256" s="462"/>
      <c r="H256" s="462"/>
      <c r="J256" s="462"/>
      <c r="L256" s="462"/>
      <c r="O256" s="462"/>
      <c r="Q256" s="462"/>
      <c r="S256" s="462"/>
      <c r="U256" s="462"/>
    </row>
    <row r="257" spans="1:23" x14ac:dyDescent="0.25">
      <c r="B257" s="517"/>
      <c r="C257" s="518"/>
      <c r="D257" s="518"/>
      <c r="E257" s="518"/>
      <c r="F257" s="518"/>
      <c r="G257" s="518"/>
      <c r="H257" s="518"/>
      <c r="I257" s="518"/>
      <c r="J257" s="518"/>
      <c r="K257" s="518"/>
      <c r="L257" s="518"/>
      <c r="M257" s="518"/>
      <c r="O257" s="517"/>
      <c r="P257" s="518"/>
      <c r="Q257" s="518"/>
      <c r="R257" s="518"/>
      <c r="S257" s="518"/>
      <c r="T257" s="518"/>
      <c r="U257" s="518"/>
      <c r="V257" s="518"/>
      <c r="W257" s="518"/>
    </row>
    <row r="258" spans="1:23" x14ac:dyDescent="0.25">
      <c r="A258" s="520"/>
      <c r="B258" s="463"/>
      <c r="C258" s="463"/>
      <c r="D258" s="463"/>
      <c r="E258" s="463"/>
      <c r="F258" s="463"/>
      <c r="G258" s="463"/>
      <c r="H258" s="463"/>
      <c r="I258" s="463"/>
      <c r="J258" s="463"/>
      <c r="K258" s="463"/>
      <c r="L258" s="463"/>
      <c r="M258" s="463"/>
      <c r="N258" s="520"/>
      <c r="O258" s="463"/>
      <c r="P258" s="463"/>
      <c r="Q258" s="463"/>
      <c r="R258" s="463"/>
      <c r="S258" s="463"/>
      <c r="T258" s="463"/>
      <c r="U258" s="463"/>
      <c r="V258" s="463"/>
      <c r="W258" s="463"/>
    </row>
    <row r="259" spans="1:23" x14ac:dyDescent="0.25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5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5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5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5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5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5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5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5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5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5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5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5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5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5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5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5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5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5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5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5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5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5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5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5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5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5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5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5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5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5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5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5">
      <c r="I293" s="536"/>
      <c r="K293" s="536"/>
      <c r="M293" s="536"/>
      <c r="V293" s="536"/>
      <c r="W293" s="51"/>
    </row>
    <row r="294" spans="1:23" x14ac:dyDescent="0.25">
      <c r="W294" s="51"/>
    </row>
    <row r="295" spans="1:23" x14ac:dyDescent="0.25">
      <c r="W295" s="51"/>
    </row>
    <row r="297" spans="1:23" x14ac:dyDescent="0.25">
      <c r="O297" s="462"/>
      <c r="Q297" s="462"/>
      <c r="S297" s="462"/>
      <c r="U297" s="462"/>
    </row>
    <row r="298" spans="1:23" x14ac:dyDescent="0.25">
      <c r="O298" s="517"/>
      <c r="P298" s="518"/>
      <c r="Q298" s="518"/>
      <c r="R298" s="518"/>
      <c r="S298" s="518"/>
      <c r="T298" s="518"/>
      <c r="U298" s="518"/>
      <c r="V298" s="518"/>
      <c r="W298" s="518"/>
    </row>
    <row r="299" spans="1:23" x14ac:dyDescent="0.25">
      <c r="N299" s="520"/>
      <c r="O299" s="463"/>
      <c r="P299" s="463"/>
      <c r="Q299" s="463"/>
      <c r="R299" s="463"/>
      <c r="S299" s="463"/>
      <c r="T299" s="463"/>
      <c r="U299" s="463"/>
      <c r="V299" s="463"/>
      <c r="W299" s="463"/>
    </row>
    <row r="300" spans="1:23" x14ac:dyDescent="0.25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5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5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5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5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5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5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5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5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5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5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5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5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5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5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5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5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5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5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5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5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5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5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5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5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5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5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5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5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5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5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5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5">
      <c r="P334" s="131"/>
      <c r="R334" s="131"/>
      <c r="T334" s="131"/>
      <c r="V334" s="131"/>
      <c r="W334" s="51"/>
    </row>
    <row r="335" spans="14:23" x14ac:dyDescent="0.25">
      <c r="W335" s="51"/>
    </row>
    <row r="336" spans="14:23" x14ac:dyDescent="0.25">
      <c r="N336" s="537"/>
      <c r="W336" s="51"/>
    </row>
    <row r="339" spans="14:23" x14ac:dyDescent="0.25">
      <c r="O339" s="462"/>
      <c r="Q339" s="462"/>
      <c r="S339" s="462"/>
      <c r="U339" s="462"/>
    </row>
    <row r="340" spans="14:23" x14ac:dyDescent="0.25">
      <c r="O340" s="517"/>
      <c r="P340" s="518"/>
      <c r="Q340" s="518"/>
      <c r="R340" s="518"/>
      <c r="S340" s="518"/>
      <c r="T340" s="518"/>
      <c r="U340" s="518"/>
      <c r="V340" s="518"/>
      <c r="W340" s="518"/>
    </row>
    <row r="341" spans="14:23" x14ac:dyDescent="0.25">
      <c r="N341" s="520"/>
      <c r="O341" s="463"/>
      <c r="P341" s="463"/>
      <c r="Q341" s="463"/>
      <c r="R341" s="463"/>
      <c r="S341" s="463"/>
      <c r="T341" s="463"/>
      <c r="U341" s="463"/>
      <c r="V341" s="463"/>
      <c r="W341" s="463"/>
    </row>
    <row r="342" spans="14:23" x14ac:dyDescent="0.25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5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5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5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5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5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5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5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5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5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5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5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5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5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5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5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5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5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5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5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5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5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5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5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5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5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5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5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5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5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5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5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5">
      <c r="N376" s="516"/>
      <c r="P376" s="131"/>
      <c r="R376" s="131"/>
      <c r="T376" s="131"/>
      <c r="V376" s="131"/>
      <c r="W376" s="51"/>
    </row>
    <row r="377" spans="14:23" x14ac:dyDescent="0.25">
      <c r="W377" s="51"/>
    </row>
    <row r="378" spans="14:23" x14ac:dyDescent="0.25">
      <c r="N378" s="537"/>
      <c r="W378" s="538"/>
    </row>
    <row r="381" spans="14:23" x14ac:dyDescent="0.25">
      <c r="O381" s="462"/>
      <c r="Q381" s="462"/>
      <c r="S381" s="462"/>
      <c r="U381" s="462"/>
    </row>
    <row r="382" spans="14:23" x14ac:dyDescent="0.25">
      <c r="O382" s="517"/>
      <c r="P382" s="518"/>
      <c r="Q382" s="518"/>
      <c r="R382" s="518"/>
      <c r="S382" s="518"/>
      <c r="T382" s="518"/>
      <c r="U382" s="518"/>
      <c r="V382" s="518"/>
      <c r="W382" s="518"/>
    </row>
    <row r="383" spans="14:23" x14ac:dyDescent="0.25">
      <c r="N383" s="520"/>
      <c r="O383" s="463"/>
      <c r="P383" s="463"/>
      <c r="Q383" s="463"/>
      <c r="R383" s="463"/>
      <c r="S383" s="463"/>
      <c r="T383" s="463"/>
      <c r="U383" s="463"/>
      <c r="V383" s="463"/>
      <c r="W383" s="463"/>
    </row>
    <row r="384" spans="14:23" x14ac:dyDescent="0.25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5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5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5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5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5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5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5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5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5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5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5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5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5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5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5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5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5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5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5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5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5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5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5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5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5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5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5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5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5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5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5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5">
      <c r="N418" s="516"/>
      <c r="P418" s="131"/>
      <c r="R418" s="131"/>
      <c r="T418" s="131"/>
      <c r="V418" s="131"/>
      <c r="W418" s="51"/>
    </row>
    <row r="419" spans="14:23" x14ac:dyDescent="0.25">
      <c r="W419" s="51"/>
    </row>
    <row r="420" spans="14:23" x14ac:dyDescent="0.25">
      <c r="N420" s="537"/>
      <c r="W420" s="538"/>
    </row>
    <row r="425" spans="14:23" x14ac:dyDescent="0.25">
      <c r="O425" s="462"/>
      <c r="Q425" s="462"/>
      <c r="S425" s="462"/>
      <c r="U425" s="462"/>
    </row>
    <row r="426" spans="14:23" x14ac:dyDescent="0.25">
      <c r="O426" s="517"/>
      <c r="P426" s="518"/>
      <c r="Q426" s="518"/>
      <c r="R426" s="518"/>
      <c r="S426" s="518"/>
      <c r="T426" s="518"/>
      <c r="U426" s="518"/>
      <c r="V426" s="518"/>
      <c r="W426" s="518"/>
    </row>
    <row r="427" spans="14:23" x14ac:dyDescent="0.25">
      <c r="N427" s="520"/>
      <c r="O427" s="463"/>
      <c r="P427" s="463"/>
      <c r="Q427" s="463"/>
      <c r="R427" s="463"/>
      <c r="S427" s="463"/>
      <c r="T427" s="463"/>
      <c r="U427" s="463"/>
      <c r="V427" s="463"/>
      <c r="W427" s="463"/>
    </row>
    <row r="428" spans="14:23" x14ac:dyDescent="0.25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5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5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5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5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5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5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5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5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5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5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5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5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5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5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5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5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5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5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5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5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5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5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5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5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5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5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5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5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5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5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5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5">
      <c r="U461" s="262"/>
    </row>
    <row r="462" spans="14:23" x14ac:dyDescent="0.25">
      <c r="N462" s="516"/>
      <c r="P462" s="131"/>
      <c r="R462" s="131"/>
      <c r="T462" s="131"/>
      <c r="V462" s="131"/>
      <c r="W462" s="51"/>
    </row>
    <row r="463" spans="14:23" x14ac:dyDescent="0.25">
      <c r="W463" s="51"/>
    </row>
    <row r="464" spans="14:23" x14ac:dyDescent="0.25">
      <c r="N464" s="537"/>
      <c r="W464" s="51"/>
    </row>
    <row r="467" spans="14:33" x14ac:dyDescent="0.25">
      <c r="O467" s="462"/>
      <c r="Q467" s="462"/>
      <c r="S467" s="462"/>
      <c r="U467" s="462"/>
      <c r="Y467" s="462"/>
      <c r="AA467" s="462"/>
      <c r="AC467" s="462"/>
      <c r="AE467" s="462"/>
    </row>
    <row r="468" spans="14:33" x14ac:dyDescent="0.25">
      <c r="O468" s="517"/>
      <c r="P468" s="518"/>
      <c r="Q468" s="518"/>
      <c r="R468" s="518"/>
      <c r="S468" s="518"/>
      <c r="T468" s="518"/>
      <c r="U468" s="518"/>
      <c r="V468" s="518"/>
      <c r="W468" s="518"/>
      <c r="Y468" s="517"/>
      <c r="Z468" s="518"/>
      <c r="AA468" s="518"/>
      <c r="AB468" s="518"/>
      <c r="AC468" s="518"/>
      <c r="AD468" s="518"/>
      <c r="AE468" s="518"/>
      <c r="AF468" s="518"/>
      <c r="AG468" s="518"/>
    </row>
    <row r="469" spans="14:33" x14ac:dyDescent="0.25">
      <c r="N469" s="520"/>
      <c r="O469" s="463"/>
      <c r="P469" s="463"/>
      <c r="Q469" s="463"/>
      <c r="R469" s="463"/>
      <c r="S469" s="463"/>
      <c r="T469" s="463"/>
      <c r="U469" s="463"/>
      <c r="V469" s="463"/>
      <c r="W469" s="463"/>
      <c r="X469" s="520"/>
      <c r="Y469" s="463"/>
      <c r="Z469" s="463"/>
      <c r="AA469" s="463"/>
      <c r="AB469" s="463"/>
      <c r="AC469" s="463"/>
      <c r="AD469" s="463"/>
      <c r="AE469" s="463"/>
      <c r="AF469" s="463"/>
      <c r="AG469" s="463"/>
    </row>
    <row r="470" spans="14:33" x14ac:dyDescent="0.25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5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5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5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5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5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5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5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5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5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5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5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5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5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5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5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5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5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5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5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5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5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5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5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5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5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5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5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5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5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5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5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5">
      <c r="U503" s="262"/>
      <c r="AE503" s="262"/>
    </row>
    <row r="504" spans="14:33" x14ac:dyDescent="0.25">
      <c r="N504" s="516"/>
      <c r="P504" s="131"/>
      <c r="R504" s="131"/>
      <c r="T504" s="131"/>
      <c r="V504" s="131"/>
      <c r="W504" s="51"/>
      <c r="X504" s="516"/>
      <c r="Z504" s="131"/>
      <c r="AB504" s="131"/>
      <c r="AD504" s="131"/>
      <c r="AF504" s="131"/>
      <c r="AG504" s="51"/>
    </row>
    <row r="505" spans="14:33" x14ac:dyDescent="0.25">
      <c r="W505" s="51"/>
      <c r="AG505" s="51"/>
    </row>
    <row r="506" spans="14:33" x14ac:dyDescent="0.25">
      <c r="N506" s="537"/>
      <c r="W506" s="51"/>
      <c r="X506" s="537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9" workbookViewId="0">
      <selection activeCell="C17" sqref="C17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5">
      <c r="A7" s="10">
        <v>1</v>
      </c>
      <c r="B7" s="11">
        <v>125289</v>
      </c>
      <c r="C7" s="11">
        <v>125129</v>
      </c>
      <c r="D7" s="25">
        <f>+C7-B7</f>
        <v>-160</v>
      </c>
    </row>
    <row r="8" spans="1:4" x14ac:dyDescent="0.25">
      <c r="A8" s="10">
        <v>2</v>
      </c>
      <c r="B8" s="11">
        <v>151397</v>
      </c>
      <c r="C8" s="11">
        <v>150614</v>
      </c>
      <c r="D8" s="25">
        <f>+C8-B8</f>
        <v>-783</v>
      </c>
    </row>
    <row r="9" spans="1:4" x14ac:dyDescent="0.25">
      <c r="A9" s="10">
        <v>3</v>
      </c>
      <c r="B9" s="11">
        <v>140641</v>
      </c>
      <c r="C9" s="11">
        <v>140609</v>
      </c>
      <c r="D9" s="25">
        <f t="shared" ref="D9:D37" si="0">+C9-B9</f>
        <v>-32</v>
      </c>
    </row>
    <row r="10" spans="1:4" x14ac:dyDescent="0.25">
      <c r="A10" s="10">
        <v>4</v>
      </c>
      <c r="B10" s="11">
        <v>140746</v>
      </c>
      <c r="C10" s="11">
        <v>140609</v>
      </c>
      <c r="D10" s="25">
        <f t="shared" si="0"/>
        <v>-137</v>
      </c>
    </row>
    <row r="11" spans="1:4" x14ac:dyDescent="0.25">
      <c r="A11" s="10">
        <v>5</v>
      </c>
      <c r="B11" s="129">
        <v>138812</v>
      </c>
      <c r="C11" s="11">
        <v>138455</v>
      </c>
      <c r="D11" s="25">
        <f t="shared" si="0"/>
        <v>-357</v>
      </c>
    </row>
    <row r="12" spans="1:4" x14ac:dyDescent="0.25">
      <c r="A12" s="10">
        <v>6</v>
      </c>
      <c r="B12" s="11">
        <v>140914</v>
      </c>
      <c r="C12" s="11">
        <v>140423</v>
      </c>
      <c r="D12" s="25">
        <f t="shared" si="0"/>
        <v>-491</v>
      </c>
    </row>
    <row r="13" spans="1:4" x14ac:dyDescent="0.25">
      <c r="A13" s="10">
        <v>7</v>
      </c>
      <c r="B13" s="129">
        <v>147299</v>
      </c>
      <c r="C13" s="11">
        <v>147989</v>
      </c>
      <c r="D13" s="25">
        <f t="shared" si="0"/>
        <v>690</v>
      </c>
    </row>
    <row r="14" spans="1:4" x14ac:dyDescent="0.25">
      <c r="A14" s="10">
        <v>8</v>
      </c>
      <c r="B14" s="11">
        <v>142094</v>
      </c>
      <c r="C14" s="11">
        <v>142003</v>
      </c>
      <c r="D14" s="25">
        <f t="shared" si="0"/>
        <v>-91</v>
      </c>
    </row>
    <row r="15" spans="1:4" x14ac:dyDescent="0.25">
      <c r="A15" s="10">
        <v>9</v>
      </c>
      <c r="B15" s="11">
        <v>171123</v>
      </c>
      <c r="C15" s="11">
        <v>172003</v>
      </c>
      <c r="D15" s="25">
        <f t="shared" si="0"/>
        <v>880</v>
      </c>
    </row>
    <row r="16" spans="1:4" x14ac:dyDescent="0.25">
      <c r="A16" s="10">
        <v>10</v>
      </c>
      <c r="B16" s="11">
        <v>168833</v>
      </c>
      <c r="C16" s="11">
        <v>172003</v>
      </c>
      <c r="D16" s="25">
        <f t="shared" si="0"/>
        <v>3170</v>
      </c>
    </row>
    <row r="17" spans="1:4" x14ac:dyDescent="0.25">
      <c r="A17" s="10">
        <v>11</v>
      </c>
      <c r="B17" s="11"/>
      <c r="C17" s="11"/>
      <c r="D17" s="25">
        <f t="shared" si="0"/>
        <v>0</v>
      </c>
    </row>
    <row r="18" spans="1:4" x14ac:dyDescent="0.25">
      <c r="A18" s="10">
        <v>12</v>
      </c>
      <c r="B18" s="11"/>
      <c r="C18" s="11"/>
      <c r="D18" s="25">
        <f t="shared" si="0"/>
        <v>0</v>
      </c>
    </row>
    <row r="19" spans="1:4" x14ac:dyDescent="0.25">
      <c r="A19" s="10">
        <v>13</v>
      </c>
      <c r="B19" s="11"/>
      <c r="C19" s="11"/>
      <c r="D19" s="25">
        <f t="shared" si="0"/>
        <v>0</v>
      </c>
    </row>
    <row r="20" spans="1:4" x14ac:dyDescent="0.25">
      <c r="A20" s="10">
        <v>14</v>
      </c>
      <c r="B20" s="11"/>
      <c r="C20" s="11"/>
      <c r="D20" s="25">
        <f t="shared" si="0"/>
        <v>0</v>
      </c>
    </row>
    <row r="21" spans="1:4" x14ac:dyDescent="0.25">
      <c r="A21" s="10">
        <v>15</v>
      </c>
      <c r="B21" s="11"/>
      <c r="C21" s="11"/>
      <c r="D21" s="25">
        <f t="shared" si="0"/>
        <v>0</v>
      </c>
    </row>
    <row r="22" spans="1:4" x14ac:dyDescent="0.25">
      <c r="A22" s="10">
        <v>16</v>
      </c>
      <c r="B22" s="11"/>
      <c r="C22" s="11"/>
      <c r="D22" s="25">
        <f t="shared" si="0"/>
        <v>0</v>
      </c>
    </row>
    <row r="23" spans="1:4" x14ac:dyDescent="0.25">
      <c r="A23" s="10">
        <v>17</v>
      </c>
      <c r="B23" s="11"/>
      <c r="C23" s="11"/>
      <c r="D23" s="25">
        <f t="shared" si="0"/>
        <v>0</v>
      </c>
    </row>
    <row r="24" spans="1:4" x14ac:dyDescent="0.25">
      <c r="A24" s="10">
        <v>18</v>
      </c>
      <c r="B24" s="11"/>
      <c r="C24" s="11"/>
      <c r="D24" s="25">
        <f t="shared" si="0"/>
        <v>0</v>
      </c>
    </row>
    <row r="25" spans="1:4" x14ac:dyDescent="0.25">
      <c r="A25" s="10">
        <v>19</v>
      </c>
      <c r="B25" s="11"/>
      <c r="C25" s="11"/>
      <c r="D25" s="25">
        <f t="shared" si="0"/>
        <v>0</v>
      </c>
    </row>
    <row r="26" spans="1:4" x14ac:dyDescent="0.25">
      <c r="A26" s="10">
        <v>20</v>
      </c>
      <c r="B26" s="129"/>
      <c r="C26" s="11"/>
      <c r="D26" s="25">
        <f t="shared" si="0"/>
        <v>0</v>
      </c>
    </row>
    <row r="27" spans="1:4" x14ac:dyDescent="0.25">
      <c r="A27" s="10">
        <v>21</v>
      </c>
      <c r="B27" s="129"/>
      <c r="C27" s="11"/>
      <c r="D27" s="25">
        <f t="shared" si="0"/>
        <v>0</v>
      </c>
    </row>
    <row r="28" spans="1:4" x14ac:dyDescent="0.25">
      <c r="A28" s="10">
        <v>22</v>
      </c>
      <c r="B28" s="11"/>
      <c r="C28" s="11"/>
      <c r="D28" s="25">
        <f t="shared" si="0"/>
        <v>0</v>
      </c>
    </row>
    <row r="29" spans="1:4" x14ac:dyDescent="0.25">
      <c r="A29" s="10">
        <v>23</v>
      </c>
      <c r="B29" s="11"/>
      <c r="C29" s="11"/>
      <c r="D29" s="25">
        <f t="shared" si="0"/>
        <v>0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8" x14ac:dyDescent="0.25">
      <c r="A33" s="10">
        <v>27</v>
      </c>
      <c r="B33" s="11"/>
      <c r="C33" s="11"/>
      <c r="D33" s="25">
        <f t="shared" si="0"/>
        <v>0</v>
      </c>
    </row>
    <row r="34" spans="1:8" x14ac:dyDescent="0.25">
      <c r="A34" s="10">
        <v>28</v>
      </c>
      <c r="B34" s="11"/>
      <c r="C34" s="11"/>
      <c r="D34" s="25">
        <f t="shared" si="0"/>
        <v>0</v>
      </c>
    </row>
    <row r="35" spans="1:8" x14ac:dyDescent="0.25">
      <c r="A35" s="10">
        <v>29</v>
      </c>
      <c r="B35" s="11"/>
      <c r="C35" s="11"/>
      <c r="D35" s="25">
        <f t="shared" si="0"/>
        <v>0</v>
      </c>
    </row>
    <row r="36" spans="1:8" x14ac:dyDescent="0.25">
      <c r="A36" s="10">
        <v>30</v>
      </c>
      <c r="B36" s="11"/>
      <c r="C36" s="11"/>
      <c r="D36" s="25">
        <f t="shared" si="0"/>
        <v>0</v>
      </c>
    </row>
    <row r="37" spans="1:8" x14ac:dyDescent="0.25">
      <c r="A37" s="10">
        <v>31</v>
      </c>
      <c r="B37" s="11"/>
      <c r="C37" s="11"/>
      <c r="D37" s="25">
        <f t="shared" si="0"/>
        <v>0</v>
      </c>
    </row>
    <row r="38" spans="1:8" x14ac:dyDescent="0.25">
      <c r="A38" s="10"/>
      <c r="B38" s="11">
        <f>SUM(B7:B37)</f>
        <v>1467148</v>
      </c>
      <c r="C38" s="11">
        <f>SUM(C7:C37)</f>
        <v>1469837</v>
      </c>
      <c r="D38" s="11">
        <f>SUM(D7:D37)</f>
        <v>2689</v>
      </c>
    </row>
    <row r="39" spans="1:8" x14ac:dyDescent="0.25">
      <c r="A39" s="26"/>
      <c r="C39" s="14"/>
      <c r="D39" s="106">
        <f>+summary!G3</f>
        <v>2.48</v>
      </c>
    </row>
    <row r="40" spans="1:8" x14ac:dyDescent="0.25">
      <c r="D40" s="138">
        <f>+D39*D38</f>
        <v>6668.72</v>
      </c>
      <c r="H40">
        <v>20</v>
      </c>
    </row>
    <row r="41" spans="1:8" x14ac:dyDescent="0.25">
      <c r="A41" s="57">
        <v>37315</v>
      </c>
      <c r="C41" s="15"/>
      <c r="D41" s="603">
        <v>-13944.79</v>
      </c>
      <c r="H41">
        <v>530</v>
      </c>
    </row>
    <row r="42" spans="1:8" x14ac:dyDescent="0.25">
      <c r="A42" s="57">
        <v>37325</v>
      </c>
      <c r="D42" s="319">
        <f>+D41+D40</f>
        <v>-7276.0700000000006</v>
      </c>
      <c r="H42">
        <f>+H41*H40</f>
        <v>10600</v>
      </c>
    </row>
    <row r="43" spans="1:8" x14ac:dyDescent="0.25">
      <c r="H43">
        <v>5989</v>
      </c>
    </row>
    <row r="44" spans="1:8" x14ac:dyDescent="0.25">
      <c r="H44">
        <f>+H42-H43</f>
        <v>4611</v>
      </c>
    </row>
    <row r="46" spans="1:8" x14ac:dyDescent="0.25">
      <c r="A46" s="32" t="s">
        <v>148</v>
      </c>
      <c r="B46" s="32"/>
      <c r="C46" s="32"/>
      <c r="D46" s="32"/>
    </row>
    <row r="47" spans="1:8" x14ac:dyDescent="0.25">
      <c r="A47" s="49">
        <f>+A41</f>
        <v>37315</v>
      </c>
      <c r="B47" s="32"/>
      <c r="C47" s="32"/>
      <c r="D47" s="599">
        <v>-7030</v>
      </c>
    </row>
    <row r="48" spans="1:8" x14ac:dyDescent="0.25">
      <c r="A48" s="49">
        <f>+A42</f>
        <v>37325</v>
      </c>
      <c r="B48" s="32"/>
      <c r="C48" s="32"/>
      <c r="D48" s="348">
        <f>+D38</f>
        <v>2689</v>
      </c>
    </row>
    <row r="49" spans="1:4" x14ac:dyDescent="0.25">
      <c r="A49" s="32"/>
      <c r="B49" s="32"/>
      <c r="C49" s="32"/>
      <c r="D49" s="14">
        <f>+D48+D47</f>
        <v>-4341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24"/>
  <sheetViews>
    <sheetView topLeftCell="A24" workbookViewId="0">
      <selection activeCell="C38" sqref="C38"/>
    </sheetView>
  </sheetViews>
  <sheetFormatPr defaultRowHeight="13.2" x14ac:dyDescent="0.25"/>
  <cols>
    <col min="2" max="2" width="9.5546875" bestFit="1" customWidth="1"/>
    <col min="3" max="3" width="10.44140625" customWidth="1"/>
    <col min="4" max="4" width="9.5546875" bestFit="1" customWidth="1"/>
    <col min="5" max="5" width="9.33203125" customWidth="1"/>
    <col min="6" max="6" width="10.44140625" bestFit="1" customWidth="1"/>
    <col min="11" max="11" width="9.5546875" bestFit="1" customWidth="1"/>
    <col min="12" max="12" width="10.44140625" bestFit="1" customWidth="1"/>
    <col min="13" max="14" width="9.5546875" bestFit="1" customWidth="1"/>
    <col min="16" max="16" width="9.88671875" style="2" bestFit="1" customWidth="1"/>
  </cols>
  <sheetData>
    <row r="2" spans="1:33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3" x14ac:dyDescent="0.25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135"/>
      <c r="K3" s="32"/>
      <c r="L3" s="32"/>
      <c r="M3" s="32"/>
      <c r="N3" s="32"/>
      <c r="O3" s="14"/>
      <c r="P3" s="104"/>
    </row>
    <row r="4" spans="1:33" x14ac:dyDescent="0.25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</row>
    <row r="5" spans="1:33" x14ac:dyDescent="0.25">
      <c r="A5" s="41">
        <v>1</v>
      </c>
      <c r="B5" s="11">
        <v>-52125</v>
      </c>
      <c r="C5" s="11">
        <v>-53717</v>
      </c>
      <c r="D5" s="11">
        <v>-55029</v>
      </c>
      <c r="E5" s="11">
        <v>-54300</v>
      </c>
      <c r="F5" s="11">
        <f>+C5-B5+E5-D5</f>
        <v>-863</v>
      </c>
      <c r="G5" s="41"/>
      <c r="H5" s="11"/>
      <c r="I5" s="11"/>
    </row>
    <row r="6" spans="1:33" x14ac:dyDescent="0.25">
      <c r="A6" s="41">
        <v>2</v>
      </c>
      <c r="B6" s="11">
        <v>-29081</v>
      </c>
      <c r="C6" s="11">
        <v>-34217</v>
      </c>
      <c r="D6" s="11">
        <v>-38945</v>
      </c>
      <c r="E6" s="11">
        <v>-44300</v>
      </c>
      <c r="F6" s="11">
        <f t="shared" ref="F6:F35" si="0">+C6-B6+E6-D6</f>
        <v>-10491</v>
      </c>
      <c r="G6" s="41"/>
      <c r="H6" s="43"/>
      <c r="I6" s="43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</row>
    <row r="7" spans="1:33" x14ac:dyDescent="0.25">
      <c r="A7" s="41">
        <v>3</v>
      </c>
      <c r="B7" s="11">
        <v>-29493</v>
      </c>
      <c r="C7" s="11">
        <v>-34217</v>
      </c>
      <c r="D7" s="11">
        <v>-38994</v>
      </c>
      <c r="E7" s="11">
        <v>-44300</v>
      </c>
      <c r="F7" s="11">
        <f t="shared" si="0"/>
        <v>-10030</v>
      </c>
      <c r="G7" s="41"/>
      <c r="H7" s="43"/>
      <c r="I7" s="43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</row>
    <row r="8" spans="1:33" x14ac:dyDescent="0.25">
      <c r="A8" s="41">
        <v>4</v>
      </c>
      <c r="B8" s="11">
        <v>-34243</v>
      </c>
      <c r="C8" s="11">
        <v>-34217</v>
      </c>
      <c r="D8" s="11">
        <v>-44589</v>
      </c>
      <c r="E8" s="11">
        <v>-44300</v>
      </c>
      <c r="F8" s="11">
        <f t="shared" si="0"/>
        <v>315</v>
      </c>
      <c r="G8" s="41"/>
      <c r="H8" s="43"/>
      <c r="I8" s="43"/>
      <c r="J8" s="37"/>
      <c r="K8" s="2" t="s">
        <v>17</v>
      </c>
      <c r="L8" s="14"/>
      <c r="M8" s="38" t="s">
        <v>18</v>
      </c>
      <c r="N8" s="4"/>
      <c r="O8" s="14"/>
      <c r="P8" s="143" t="s">
        <v>307</v>
      </c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</row>
    <row r="9" spans="1:33" ht="14.4" x14ac:dyDescent="0.35">
      <c r="A9" s="41">
        <v>5</v>
      </c>
      <c r="B9" s="11">
        <v>-35013</v>
      </c>
      <c r="C9" s="11">
        <v>-34999</v>
      </c>
      <c r="D9" s="11">
        <v>-83970</v>
      </c>
      <c r="E9" s="11">
        <v>-84034</v>
      </c>
      <c r="F9" s="11">
        <f t="shared" si="0"/>
        <v>-50</v>
      </c>
      <c r="G9" s="41"/>
      <c r="H9" s="43"/>
      <c r="I9" s="43"/>
      <c r="J9" s="124" t="s">
        <v>39</v>
      </c>
      <c r="K9" s="6" t="s">
        <v>19</v>
      </c>
      <c r="L9" s="40" t="s">
        <v>20</v>
      </c>
      <c r="M9" s="6" t="s">
        <v>19</v>
      </c>
      <c r="N9" s="6" t="s">
        <v>20</v>
      </c>
      <c r="O9" s="557" t="s">
        <v>49</v>
      </c>
      <c r="P9" s="558" t="s">
        <v>45</v>
      </c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</row>
    <row r="10" spans="1:33" x14ac:dyDescent="0.25">
      <c r="A10" s="41">
        <v>6</v>
      </c>
      <c r="B10" s="11">
        <v>-40997</v>
      </c>
      <c r="C10" s="11">
        <v>-40802</v>
      </c>
      <c r="D10" s="11">
        <v>-21482</v>
      </c>
      <c r="E10" s="11">
        <v>-22504</v>
      </c>
      <c r="F10" s="11">
        <f t="shared" si="0"/>
        <v>-827</v>
      </c>
      <c r="G10" s="41"/>
      <c r="H10" s="43"/>
      <c r="I10" s="43"/>
      <c r="J10" s="101">
        <v>36861</v>
      </c>
      <c r="K10" s="2" t="s">
        <v>306</v>
      </c>
      <c r="P10" s="24">
        <v>-7752</v>
      </c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</row>
    <row r="11" spans="1:33" x14ac:dyDescent="0.25">
      <c r="A11" s="41">
        <v>7</v>
      </c>
      <c r="B11" s="129">
        <v>-31090</v>
      </c>
      <c r="C11" s="11">
        <v>-30000</v>
      </c>
      <c r="D11" s="129">
        <v>-25844</v>
      </c>
      <c r="E11" s="11">
        <v>-25504</v>
      </c>
      <c r="F11" s="11">
        <f t="shared" si="0"/>
        <v>1430</v>
      </c>
      <c r="G11" s="41"/>
      <c r="H11" s="43"/>
      <c r="I11" s="43"/>
      <c r="J11" s="101">
        <v>36892</v>
      </c>
      <c r="K11" s="11">
        <v>-231248</v>
      </c>
      <c r="L11" s="11">
        <v>-57416</v>
      </c>
      <c r="M11" s="11">
        <v>-97420</v>
      </c>
      <c r="N11" s="11">
        <v>-261633</v>
      </c>
      <c r="O11" s="11">
        <f>+N11+L11-M11-K11</f>
        <v>9619</v>
      </c>
      <c r="P11" s="25">
        <f>+P10+O11</f>
        <v>1867</v>
      </c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</row>
    <row r="12" spans="1:33" x14ac:dyDescent="0.25">
      <c r="A12" s="41">
        <v>8</v>
      </c>
      <c r="B12" s="11">
        <v>-25004</v>
      </c>
      <c r="C12" s="11">
        <v>-25000</v>
      </c>
      <c r="D12" s="129">
        <v>-303</v>
      </c>
      <c r="E12" s="11">
        <v>-2300</v>
      </c>
      <c r="F12" s="11">
        <f t="shared" si="0"/>
        <v>-1993</v>
      </c>
      <c r="G12" s="41"/>
      <c r="H12" s="43"/>
      <c r="I12" s="43"/>
      <c r="J12" s="101">
        <v>36923</v>
      </c>
      <c r="K12" s="11">
        <v>-21620</v>
      </c>
      <c r="L12" s="11">
        <v>-15000</v>
      </c>
      <c r="M12" s="129">
        <v>0</v>
      </c>
      <c r="N12" s="11">
        <v>-5000</v>
      </c>
      <c r="O12" s="11">
        <f t="shared" ref="O12:O23" si="1">+N12+L12-M12-K12</f>
        <v>1620</v>
      </c>
      <c r="P12" s="25">
        <f t="shared" ref="P12:P23" si="2">+P11+O12</f>
        <v>3487</v>
      </c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</row>
    <row r="13" spans="1:33" x14ac:dyDescent="0.25">
      <c r="A13" s="41">
        <v>9</v>
      </c>
      <c r="B13" s="129">
        <v>-10850</v>
      </c>
      <c r="C13" s="11">
        <v>-10000</v>
      </c>
      <c r="D13" s="129">
        <v>-12457</v>
      </c>
      <c r="E13" s="11">
        <v>-12300</v>
      </c>
      <c r="F13" s="11">
        <f t="shared" si="0"/>
        <v>1007</v>
      </c>
      <c r="G13" s="41"/>
      <c r="H13" s="43"/>
      <c r="I13" s="43"/>
      <c r="J13" s="101">
        <v>36951</v>
      </c>
      <c r="K13" s="11">
        <v>-162976</v>
      </c>
      <c r="L13" s="11">
        <v>0</v>
      </c>
      <c r="M13" s="11">
        <v>-266</v>
      </c>
      <c r="N13" s="11">
        <v>-160000</v>
      </c>
      <c r="O13" s="11">
        <f t="shared" si="1"/>
        <v>3242</v>
      </c>
      <c r="P13" s="25">
        <f t="shared" si="2"/>
        <v>6729</v>
      </c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</row>
    <row r="14" spans="1:33" x14ac:dyDescent="0.25">
      <c r="A14" s="41">
        <v>10</v>
      </c>
      <c r="B14" s="11">
        <v>-9723</v>
      </c>
      <c r="C14" s="11">
        <v>-10000</v>
      </c>
      <c r="D14" s="129">
        <v>-12550</v>
      </c>
      <c r="E14" s="11">
        <v>-12300</v>
      </c>
      <c r="F14" s="11">
        <f t="shared" si="0"/>
        <v>-27</v>
      </c>
      <c r="G14" s="41"/>
      <c r="H14" s="43"/>
      <c r="I14" s="43"/>
      <c r="J14" s="101">
        <v>36982</v>
      </c>
      <c r="K14" s="11">
        <v>-796190</v>
      </c>
      <c r="L14" s="11">
        <v>-10000</v>
      </c>
      <c r="M14" s="129">
        <v>-33222</v>
      </c>
      <c r="N14" s="11">
        <v>-771924</v>
      </c>
      <c r="O14" s="11">
        <f t="shared" si="1"/>
        <v>47488</v>
      </c>
      <c r="P14" s="25">
        <f t="shared" si="2"/>
        <v>54217</v>
      </c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</row>
    <row r="15" spans="1:33" x14ac:dyDescent="0.25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43"/>
      <c r="I15" s="43"/>
      <c r="J15" s="101">
        <v>37012</v>
      </c>
      <c r="K15" s="129">
        <v>-893146</v>
      </c>
      <c r="L15" s="11">
        <v>-43184</v>
      </c>
      <c r="M15" s="11">
        <v>0</v>
      </c>
      <c r="N15" s="11">
        <v>-842284</v>
      </c>
      <c r="O15" s="11">
        <f t="shared" si="1"/>
        <v>7678</v>
      </c>
      <c r="P15" s="25">
        <f t="shared" si="2"/>
        <v>61895</v>
      </c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</row>
    <row r="16" spans="1:33" x14ac:dyDescent="0.25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43"/>
      <c r="I16" s="43"/>
      <c r="J16" s="101">
        <v>37043</v>
      </c>
      <c r="K16" s="11">
        <v>-652748</v>
      </c>
      <c r="L16" s="11">
        <v>-31034</v>
      </c>
      <c r="M16" s="11">
        <v>-332106</v>
      </c>
      <c r="N16" s="11">
        <v>-946401</v>
      </c>
      <c r="O16" s="11">
        <f t="shared" si="1"/>
        <v>7419</v>
      </c>
      <c r="P16" s="25">
        <f t="shared" si="2"/>
        <v>69314</v>
      </c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</row>
    <row r="17" spans="1:33" x14ac:dyDescent="0.25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101">
        <v>37073</v>
      </c>
      <c r="K17" s="129">
        <v>-1299468</v>
      </c>
      <c r="L17" s="11">
        <v>-656709</v>
      </c>
      <c r="M17" s="11">
        <v>-734846</v>
      </c>
      <c r="N17" s="11">
        <v>-1410580</v>
      </c>
      <c r="O17" s="11">
        <f t="shared" si="1"/>
        <v>-32975</v>
      </c>
      <c r="P17" s="25">
        <f t="shared" si="2"/>
        <v>36339</v>
      </c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</row>
    <row r="18" spans="1:33" x14ac:dyDescent="0.25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101">
        <v>37104</v>
      </c>
      <c r="K18" s="11">
        <v>-1826791</v>
      </c>
      <c r="L18" s="11">
        <v>-534941</v>
      </c>
      <c r="M18" s="129">
        <v>-305444</v>
      </c>
      <c r="N18" s="11">
        <v>-1560630</v>
      </c>
      <c r="O18" s="11">
        <f t="shared" si="1"/>
        <v>36664</v>
      </c>
      <c r="P18" s="25">
        <f t="shared" si="2"/>
        <v>73003</v>
      </c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</row>
    <row r="19" spans="1:33" x14ac:dyDescent="0.25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101">
        <v>37135</v>
      </c>
      <c r="K19" s="11">
        <v>-1552478</v>
      </c>
      <c r="L19" s="11">
        <v>-728692</v>
      </c>
      <c r="M19" s="11">
        <v>-117048</v>
      </c>
      <c r="N19" s="11">
        <v>-943957</v>
      </c>
      <c r="O19" s="11">
        <f t="shared" si="1"/>
        <v>-3123</v>
      </c>
      <c r="P19" s="25">
        <f t="shared" si="2"/>
        <v>69880</v>
      </c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</row>
    <row r="20" spans="1:33" x14ac:dyDescent="0.25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101">
        <v>37165</v>
      </c>
      <c r="K20" s="11">
        <v>-1139380</v>
      </c>
      <c r="L20" s="11">
        <v>-196498</v>
      </c>
      <c r="M20" s="11">
        <v>-307336</v>
      </c>
      <c r="N20" s="129">
        <v>-1322794</v>
      </c>
      <c r="O20" s="11">
        <f t="shared" si="1"/>
        <v>-72576</v>
      </c>
      <c r="P20" s="25">
        <f t="shared" si="2"/>
        <v>-2696</v>
      </c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</row>
    <row r="21" spans="1:33" x14ac:dyDescent="0.25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101">
        <v>37196</v>
      </c>
      <c r="K21" s="11">
        <v>-144119</v>
      </c>
      <c r="L21" s="11">
        <v>-155994</v>
      </c>
      <c r="M21" s="11">
        <v>-1349971</v>
      </c>
      <c r="N21" s="11">
        <v>-1325152</v>
      </c>
      <c r="O21" s="11">
        <f t="shared" si="1"/>
        <v>12944</v>
      </c>
      <c r="P21" s="25">
        <f t="shared" si="2"/>
        <v>10248</v>
      </c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</row>
    <row r="22" spans="1:33" x14ac:dyDescent="0.25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101">
        <v>37226</v>
      </c>
      <c r="K22" s="11">
        <v>-379245</v>
      </c>
      <c r="L22" s="11">
        <v>-376245</v>
      </c>
      <c r="M22" s="11">
        <v>-721032</v>
      </c>
      <c r="N22" s="11">
        <v>-724604</v>
      </c>
      <c r="O22" s="11">
        <f t="shared" si="1"/>
        <v>-572</v>
      </c>
      <c r="P22" s="25">
        <f t="shared" si="2"/>
        <v>9676</v>
      </c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</row>
    <row r="23" spans="1:33" x14ac:dyDescent="0.25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101">
        <v>37257</v>
      </c>
      <c r="K23" s="11">
        <v>-279779</v>
      </c>
      <c r="L23" s="11">
        <v>-271068</v>
      </c>
      <c r="M23" s="11">
        <v>-1831943</v>
      </c>
      <c r="N23" s="11">
        <v>-1808648</v>
      </c>
      <c r="O23" s="11">
        <f t="shared" si="1"/>
        <v>32006</v>
      </c>
      <c r="P23" s="25">
        <f t="shared" si="2"/>
        <v>41682</v>
      </c>
      <c r="Q23" s="153" t="s">
        <v>308</v>
      </c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</row>
    <row r="24" spans="1:33" x14ac:dyDescent="0.25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0"/>
      <c r="N24" s="290"/>
      <c r="O24" s="290"/>
      <c r="P24" s="153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</row>
    <row r="25" spans="1:33" x14ac:dyDescent="0.25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0"/>
      <c r="N25" s="290"/>
      <c r="O25" s="290"/>
      <c r="P25" s="153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</row>
    <row r="26" spans="1:33" x14ac:dyDescent="0.25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0"/>
      <c r="N26" s="290"/>
      <c r="O26" s="290"/>
      <c r="P26" s="153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</row>
    <row r="27" spans="1:33" x14ac:dyDescent="0.25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0"/>
      <c r="N27" s="290"/>
      <c r="O27" s="290"/>
      <c r="P27" s="153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</row>
    <row r="28" spans="1:33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0"/>
      <c r="N28" s="290"/>
      <c r="O28" s="290"/>
      <c r="P28" s="153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</row>
    <row r="29" spans="1:33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153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</row>
    <row r="30" spans="1:33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153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</row>
    <row r="31" spans="1:33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153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</row>
    <row r="32" spans="1:33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153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</row>
    <row r="33" spans="1:33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153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</row>
    <row r="34" spans="1:33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153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</row>
    <row r="35" spans="1:33" x14ac:dyDescent="0.25">
      <c r="A35" s="41">
        <v>31</v>
      </c>
      <c r="B35" s="42"/>
      <c r="C35" s="42"/>
      <c r="D35" s="42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153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</row>
    <row r="36" spans="1:33" x14ac:dyDescent="0.25">
      <c r="A36" s="41"/>
      <c r="B36" s="11">
        <f>SUM(B5:B35)</f>
        <v>-297619</v>
      </c>
      <c r="C36" s="44">
        <f>SUM(C5:C35)</f>
        <v>-307169</v>
      </c>
      <c r="D36" s="43">
        <f>SUM(D5:D35)</f>
        <v>-334163</v>
      </c>
      <c r="E36" s="43">
        <f>SUM(E5:E35)</f>
        <v>-346142</v>
      </c>
      <c r="F36" s="11">
        <f>SUM(F5:F35)</f>
        <v>-21529</v>
      </c>
      <c r="G36" s="41"/>
      <c r="H36" s="43"/>
      <c r="I36" s="43"/>
      <c r="J36" s="43"/>
      <c r="K36" s="43"/>
      <c r="L36" s="43"/>
      <c r="M36" s="290"/>
      <c r="N36" s="290"/>
      <c r="O36" s="290"/>
      <c r="P36" s="153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</row>
    <row r="37" spans="1:33" x14ac:dyDescent="0.25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153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</row>
    <row r="38" spans="1:33" x14ac:dyDescent="0.25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49"/>
      <c r="M38" s="290"/>
      <c r="N38" s="290"/>
      <c r="O38" s="290"/>
      <c r="P38" s="153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</row>
    <row r="39" spans="1:33" x14ac:dyDescent="0.25">
      <c r="A39" s="32"/>
      <c r="B39" s="32"/>
      <c r="C39" s="15"/>
      <c r="D39" s="15"/>
      <c r="E39" s="15"/>
      <c r="F39" s="487">
        <f>+summary!G5</f>
        <v>2.4900000000000002</v>
      </c>
      <c r="G39" s="32"/>
      <c r="H39" s="204"/>
      <c r="I39" s="150"/>
      <c r="J39" s="344"/>
      <c r="K39" s="450"/>
      <c r="L39" s="150"/>
      <c r="M39" s="290"/>
      <c r="N39" s="290"/>
      <c r="O39" s="290"/>
      <c r="P39" s="153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</row>
    <row r="40" spans="1:33" x14ac:dyDescent="0.25">
      <c r="A40" s="32"/>
      <c r="B40" s="32"/>
      <c r="C40" s="48"/>
      <c r="D40" s="47"/>
      <c r="E40" s="48"/>
      <c r="F40" s="46">
        <f>+F39*F36</f>
        <v>-53607.210000000006</v>
      </c>
      <c r="G40" s="32"/>
      <c r="H40" s="204"/>
      <c r="I40" s="206"/>
      <c r="J40" s="344"/>
      <c r="K40" s="344"/>
      <c r="L40" s="150"/>
      <c r="M40" s="290"/>
      <c r="N40" s="290"/>
      <c r="O40" s="290"/>
      <c r="P40" s="153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</row>
    <row r="41" spans="1:33" x14ac:dyDescent="0.25">
      <c r="A41" s="32"/>
      <c r="B41" s="32"/>
      <c r="C41" s="47"/>
      <c r="D41" s="47"/>
      <c r="E41" s="47"/>
      <c r="F41" s="24"/>
      <c r="G41" s="32"/>
      <c r="H41" s="451"/>
      <c r="I41" s="206"/>
      <c r="J41" s="452"/>
      <c r="K41" s="452"/>
      <c r="L41" s="150"/>
      <c r="M41" s="290"/>
      <c r="N41" s="290"/>
      <c r="O41" s="290"/>
      <c r="P41" s="153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</row>
    <row r="42" spans="1:33" x14ac:dyDescent="0.25">
      <c r="A42" s="57">
        <v>37315</v>
      </c>
      <c r="B42" s="32"/>
      <c r="C42" s="459"/>
      <c r="D42" s="111"/>
      <c r="E42" s="459"/>
      <c r="F42" s="601">
        <f>34680+26891</f>
        <v>61571</v>
      </c>
      <c r="G42" s="32"/>
      <c r="H42" s="451"/>
      <c r="I42" s="206"/>
      <c r="J42" s="452"/>
      <c r="K42" s="452"/>
      <c r="L42" s="303"/>
      <c r="M42" s="290"/>
      <c r="N42" s="290"/>
      <c r="O42" s="290"/>
      <c r="P42" s="153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</row>
    <row r="43" spans="1:33" x14ac:dyDescent="0.25">
      <c r="A43" s="57">
        <v>37325</v>
      </c>
      <c r="B43" s="32"/>
      <c r="C43" s="106"/>
      <c r="D43" s="106"/>
      <c r="E43" s="106"/>
      <c r="F43" s="24">
        <f>+F42+F36</f>
        <v>40042</v>
      </c>
      <c r="H43" s="290"/>
      <c r="I43" s="290"/>
      <c r="J43" s="290"/>
      <c r="K43" s="290"/>
      <c r="L43" s="453"/>
      <c r="M43" s="290"/>
      <c r="N43" s="290"/>
      <c r="O43" s="290"/>
      <c r="P43" s="153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</row>
    <row r="44" spans="1:33" x14ac:dyDescent="0.25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153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</row>
    <row r="45" spans="1:33" x14ac:dyDescent="0.25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153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</row>
    <row r="46" spans="1:33" x14ac:dyDescent="0.25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153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</row>
    <row r="47" spans="1:33" x14ac:dyDescent="0.25">
      <c r="A47" s="32" t="s">
        <v>290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153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</row>
    <row r="48" spans="1:33" x14ac:dyDescent="0.25">
      <c r="A48" s="49">
        <f>+A42</f>
        <v>37315</v>
      </c>
      <c r="B48" s="32"/>
      <c r="C48" s="32"/>
      <c r="D48" s="560">
        <v>90293.96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153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</row>
    <row r="49" spans="1:33" x14ac:dyDescent="0.25">
      <c r="A49" s="49">
        <f>+A43</f>
        <v>37325</v>
      </c>
      <c r="B49" s="32"/>
      <c r="C49" s="32"/>
      <c r="D49" s="76">
        <f>+F36</f>
        <v>-21529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153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</row>
    <row r="50" spans="1:33" x14ac:dyDescent="0.25">
      <c r="A50" s="32"/>
      <c r="B50" s="32"/>
      <c r="C50" s="32"/>
      <c r="D50" s="75">
        <f>+D49+D48</f>
        <v>68764.960000000006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153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</row>
    <row r="51" spans="1:33" x14ac:dyDescent="0.25">
      <c r="D51" s="259"/>
      <c r="H51" s="290"/>
      <c r="I51" s="290"/>
      <c r="J51" s="290"/>
      <c r="K51" s="290"/>
      <c r="L51" s="290"/>
      <c r="M51" s="290"/>
      <c r="N51" s="290"/>
      <c r="O51" s="290"/>
      <c r="P51" s="153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</row>
    <row r="52" spans="1:33" x14ac:dyDescent="0.25">
      <c r="H52" s="290"/>
      <c r="I52" s="290"/>
      <c r="J52" s="290"/>
      <c r="K52" s="290"/>
      <c r="L52" s="290"/>
      <c r="M52" s="290"/>
      <c r="N52" s="290"/>
      <c r="O52" s="290"/>
      <c r="P52" s="153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</row>
    <row r="53" spans="1:33" x14ac:dyDescent="0.25">
      <c r="H53" s="290"/>
      <c r="I53" s="290"/>
      <c r="J53" s="290"/>
      <c r="K53" s="290"/>
      <c r="L53" s="290"/>
      <c r="M53" s="290"/>
      <c r="N53" s="290"/>
      <c r="O53" s="290"/>
      <c r="P53" s="153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</row>
    <row r="54" spans="1:33" x14ac:dyDescent="0.25">
      <c r="H54" s="290"/>
      <c r="I54" s="290"/>
      <c r="J54" s="290"/>
      <c r="K54" s="290"/>
      <c r="L54" s="290"/>
      <c r="M54" s="290"/>
      <c r="N54" s="290"/>
      <c r="O54" s="290"/>
      <c r="P54" s="153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</row>
    <row r="55" spans="1:33" x14ac:dyDescent="0.25">
      <c r="H55" s="290"/>
      <c r="I55" s="290"/>
      <c r="J55" s="290"/>
      <c r="K55" s="290"/>
      <c r="L55" s="290"/>
      <c r="M55" s="290"/>
      <c r="N55" s="290"/>
      <c r="O55" s="290"/>
      <c r="P55" s="153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</row>
    <row r="56" spans="1:33" x14ac:dyDescent="0.25">
      <c r="H56" s="290"/>
      <c r="I56" s="290"/>
      <c r="J56" s="290"/>
      <c r="K56" s="290"/>
      <c r="L56" s="290"/>
      <c r="M56" s="290"/>
      <c r="N56" s="290"/>
      <c r="O56" s="290"/>
      <c r="P56" s="153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</row>
    <row r="57" spans="1:33" x14ac:dyDescent="0.25">
      <c r="H57" s="290"/>
      <c r="I57" s="290"/>
      <c r="J57" s="290"/>
      <c r="K57" s="290"/>
      <c r="L57" s="290"/>
      <c r="M57" s="290"/>
      <c r="N57" s="290"/>
      <c r="O57" s="290"/>
      <c r="P57" s="153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</row>
    <row r="58" spans="1:33" x14ac:dyDescent="0.25">
      <c r="H58" s="290"/>
      <c r="I58" s="290"/>
      <c r="J58" s="290"/>
      <c r="K58" s="290"/>
      <c r="L58" s="290"/>
      <c r="M58" s="290"/>
      <c r="N58" s="290"/>
      <c r="O58" s="290"/>
      <c r="P58" s="153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</row>
    <row r="59" spans="1:33" x14ac:dyDescent="0.25">
      <c r="H59" s="290"/>
      <c r="I59" s="290"/>
      <c r="J59" s="290"/>
      <c r="K59" s="290"/>
      <c r="L59" s="290"/>
      <c r="M59" s="290"/>
      <c r="N59" s="290"/>
      <c r="O59" s="290"/>
      <c r="P59" s="153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</row>
    <row r="60" spans="1:33" x14ac:dyDescent="0.25">
      <c r="H60" s="290"/>
      <c r="I60" s="290"/>
      <c r="J60" s="290"/>
      <c r="K60" s="290"/>
      <c r="L60" s="290"/>
      <c r="M60" s="290"/>
      <c r="N60" s="290"/>
      <c r="O60" s="290"/>
      <c r="P60" s="153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</row>
    <row r="61" spans="1:33" x14ac:dyDescent="0.25">
      <c r="H61" s="290"/>
      <c r="I61" s="290"/>
      <c r="J61" s="290"/>
      <c r="K61" s="290"/>
      <c r="L61" s="290"/>
      <c r="M61" s="290"/>
      <c r="N61" s="290"/>
      <c r="O61" s="290"/>
      <c r="P61" s="153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</row>
    <row r="62" spans="1:33" x14ac:dyDescent="0.25">
      <c r="H62" s="290"/>
      <c r="I62" s="290"/>
      <c r="J62" s="290"/>
      <c r="K62" s="290"/>
      <c r="L62" s="290"/>
      <c r="M62" s="290"/>
      <c r="N62" s="290"/>
      <c r="O62" s="290"/>
      <c r="P62" s="153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</row>
    <row r="63" spans="1:33" x14ac:dyDescent="0.25">
      <c r="H63" s="290"/>
      <c r="I63" s="290"/>
      <c r="J63" s="290"/>
      <c r="K63" s="290"/>
      <c r="L63" s="290"/>
      <c r="M63" s="290"/>
      <c r="N63" s="290"/>
      <c r="O63" s="290"/>
      <c r="P63" s="153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</row>
    <row r="64" spans="1:33" x14ac:dyDescent="0.25">
      <c r="H64" s="290"/>
      <c r="I64" s="290"/>
      <c r="J64" s="290"/>
      <c r="K64" s="290"/>
      <c r="L64" s="290"/>
      <c r="M64" s="290"/>
      <c r="N64" s="290"/>
      <c r="O64" s="290"/>
      <c r="P64" s="153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</row>
    <row r="65" spans="8:33" x14ac:dyDescent="0.25">
      <c r="H65" s="290"/>
      <c r="I65" s="290"/>
      <c r="J65" s="290"/>
      <c r="K65" s="290"/>
      <c r="L65" s="290"/>
      <c r="M65" s="290"/>
      <c r="N65" s="290"/>
      <c r="O65" s="290"/>
      <c r="P65" s="153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</row>
    <row r="66" spans="8:33" x14ac:dyDescent="0.25">
      <c r="H66" s="290"/>
      <c r="I66" s="290"/>
      <c r="J66" s="290"/>
      <c r="K66" s="290"/>
      <c r="L66" s="290"/>
      <c r="M66" s="290"/>
      <c r="N66" s="290"/>
      <c r="O66" s="290"/>
      <c r="P66" s="153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</row>
    <row r="67" spans="8:33" x14ac:dyDescent="0.25">
      <c r="H67" s="290"/>
      <c r="I67" s="290"/>
      <c r="J67" s="290"/>
      <c r="K67" s="290"/>
      <c r="L67" s="290"/>
      <c r="M67" s="290"/>
      <c r="N67" s="290"/>
      <c r="O67" s="290"/>
      <c r="P67" s="153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</row>
    <row r="68" spans="8:33" x14ac:dyDescent="0.25">
      <c r="H68" s="290"/>
      <c r="I68" s="290"/>
      <c r="J68" s="290"/>
      <c r="K68" s="290"/>
      <c r="L68" s="290"/>
      <c r="M68" s="290"/>
      <c r="N68" s="290"/>
      <c r="O68" s="290"/>
      <c r="P68" s="153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</row>
    <row r="69" spans="8:33" x14ac:dyDescent="0.25">
      <c r="H69" s="290"/>
      <c r="I69" s="290"/>
      <c r="J69" s="290"/>
      <c r="K69" s="290"/>
      <c r="L69" s="290"/>
      <c r="M69" s="290"/>
      <c r="N69" s="290"/>
      <c r="O69" s="290"/>
      <c r="P69" s="153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</row>
    <row r="70" spans="8:33" x14ac:dyDescent="0.25">
      <c r="H70" s="290"/>
      <c r="I70" s="290"/>
      <c r="J70" s="290"/>
      <c r="K70" s="290"/>
      <c r="L70" s="290"/>
      <c r="M70" s="290"/>
      <c r="N70" s="290"/>
      <c r="O70" s="290"/>
      <c r="P70" s="153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</row>
    <row r="71" spans="8:33" x14ac:dyDescent="0.25">
      <c r="H71" s="290"/>
      <c r="I71" s="290"/>
      <c r="J71" s="290"/>
      <c r="K71" s="290"/>
      <c r="L71" s="290"/>
      <c r="M71" s="290"/>
      <c r="N71" s="290"/>
      <c r="O71" s="290"/>
      <c r="P71" s="153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</row>
    <row r="72" spans="8:33" x14ac:dyDescent="0.25">
      <c r="H72" s="290"/>
      <c r="I72" s="290"/>
      <c r="J72" s="290"/>
      <c r="K72" s="290"/>
      <c r="L72" s="290"/>
      <c r="M72" s="290"/>
      <c r="N72" s="290"/>
      <c r="O72" s="290"/>
      <c r="P72" s="153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</row>
    <row r="73" spans="8:33" x14ac:dyDescent="0.25">
      <c r="H73" s="290"/>
      <c r="I73" s="290"/>
      <c r="J73" s="290"/>
      <c r="K73" s="290"/>
      <c r="L73" s="290"/>
      <c r="M73" s="290"/>
      <c r="N73" s="290"/>
      <c r="O73" s="290"/>
      <c r="P73" s="153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</row>
    <row r="74" spans="8:33" x14ac:dyDescent="0.25">
      <c r="H74" s="290"/>
      <c r="I74" s="290"/>
      <c r="J74" s="290"/>
      <c r="K74" s="290"/>
      <c r="L74" s="290"/>
      <c r="M74" s="290"/>
      <c r="N74" s="290"/>
      <c r="O74" s="290"/>
      <c r="P74" s="153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</row>
    <row r="75" spans="8:33" x14ac:dyDescent="0.25">
      <c r="H75" s="290"/>
      <c r="I75" s="290"/>
      <c r="J75" s="290"/>
      <c r="K75" s="290"/>
      <c r="L75" s="290"/>
      <c r="M75" s="290"/>
      <c r="N75" s="290"/>
      <c r="O75" s="290"/>
      <c r="P75" s="153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</row>
    <row r="76" spans="8:33" x14ac:dyDescent="0.25">
      <c r="H76" s="290"/>
      <c r="I76" s="290"/>
      <c r="J76" s="290"/>
      <c r="K76" s="290"/>
      <c r="L76" s="290"/>
      <c r="M76" s="290"/>
      <c r="N76" s="290"/>
      <c r="O76" s="290"/>
      <c r="P76" s="153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</row>
    <row r="77" spans="8:33" x14ac:dyDescent="0.25">
      <c r="H77" s="290"/>
      <c r="I77" s="290"/>
      <c r="J77" s="290"/>
      <c r="K77" s="290"/>
      <c r="L77" s="290"/>
      <c r="M77" s="290"/>
      <c r="N77" s="290"/>
      <c r="O77" s="290"/>
      <c r="P77" s="153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</row>
    <row r="78" spans="8:33" x14ac:dyDescent="0.25">
      <c r="H78" s="290"/>
      <c r="I78" s="290"/>
      <c r="J78" s="290"/>
      <c r="K78" s="290"/>
      <c r="L78" s="290"/>
      <c r="M78" s="290"/>
      <c r="N78" s="290"/>
      <c r="O78" s="290"/>
      <c r="P78" s="153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</row>
    <row r="79" spans="8:33" x14ac:dyDescent="0.25">
      <c r="H79" s="290"/>
      <c r="I79" s="290"/>
      <c r="J79" s="290"/>
      <c r="K79" s="290"/>
      <c r="L79" s="290"/>
      <c r="M79" s="290"/>
      <c r="N79" s="290"/>
      <c r="O79" s="290"/>
      <c r="P79" s="153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</row>
    <row r="80" spans="8:33" x14ac:dyDescent="0.25">
      <c r="H80" s="290"/>
      <c r="I80" s="290"/>
      <c r="J80" s="290"/>
      <c r="K80" s="290"/>
      <c r="L80" s="290"/>
      <c r="M80" s="290"/>
      <c r="N80" s="290"/>
      <c r="O80" s="290"/>
      <c r="P80" s="153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</row>
    <row r="81" spans="8:33" x14ac:dyDescent="0.25">
      <c r="H81" s="290"/>
      <c r="I81" s="290"/>
      <c r="J81" s="290"/>
      <c r="K81" s="290"/>
      <c r="L81" s="290"/>
      <c r="M81" s="290"/>
      <c r="N81" s="290"/>
      <c r="O81" s="290"/>
      <c r="P81" s="153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</row>
    <row r="82" spans="8:33" x14ac:dyDescent="0.25">
      <c r="H82" s="290"/>
      <c r="I82" s="290"/>
      <c r="J82" s="290"/>
      <c r="K82" s="290"/>
      <c r="L82" s="290"/>
      <c r="M82" s="290"/>
      <c r="N82" s="290"/>
      <c r="O82" s="290"/>
      <c r="P82" s="153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</row>
    <row r="83" spans="8:33" x14ac:dyDescent="0.25">
      <c r="H83" s="290"/>
      <c r="I83" s="290"/>
      <c r="J83" s="290"/>
      <c r="K83" s="290"/>
      <c r="L83" s="290"/>
      <c r="M83" s="290"/>
      <c r="N83" s="290"/>
      <c r="O83" s="290"/>
      <c r="P83" s="153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</row>
    <row r="84" spans="8:33" x14ac:dyDescent="0.25">
      <c r="H84" s="290"/>
      <c r="I84" s="290"/>
      <c r="J84" s="290"/>
      <c r="K84" s="290"/>
      <c r="L84" s="290"/>
      <c r="M84" s="290"/>
      <c r="N84" s="290"/>
      <c r="O84" s="290"/>
      <c r="P84" s="153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</row>
    <row r="85" spans="8:33" x14ac:dyDescent="0.25">
      <c r="H85" s="290"/>
      <c r="I85" s="290"/>
      <c r="J85" s="290"/>
      <c r="K85" s="290"/>
      <c r="L85" s="290"/>
      <c r="M85" s="290"/>
      <c r="N85" s="290"/>
      <c r="O85" s="290"/>
      <c r="P85" s="153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</row>
    <row r="86" spans="8:33" x14ac:dyDescent="0.25">
      <c r="H86" s="290"/>
      <c r="I86" s="290"/>
      <c r="J86" s="290"/>
      <c r="K86" s="290"/>
      <c r="L86" s="290"/>
      <c r="M86" s="290"/>
      <c r="N86" s="290"/>
      <c r="O86" s="290"/>
      <c r="P86" s="153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</row>
    <row r="87" spans="8:33" x14ac:dyDescent="0.25">
      <c r="H87" s="290"/>
      <c r="I87" s="290"/>
      <c r="J87" s="290"/>
      <c r="K87" s="290"/>
      <c r="L87" s="290"/>
      <c r="M87" s="290"/>
      <c r="N87" s="290"/>
      <c r="O87" s="290"/>
      <c r="P87" s="153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</row>
    <row r="88" spans="8:33" x14ac:dyDescent="0.25">
      <c r="H88" s="290"/>
      <c r="I88" s="290"/>
      <c r="J88" s="290"/>
      <c r="K88" s="290"/>
      <c r="L88" s="290"/>
      <c r="M88" s="290"/>
      <c r="N88" s="290"/>
      <c r="O88" s="290"/>
      <c r="P88" s="153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</row>
    <row r="89" spans="8:33" x14ac:dyDescent="0.25">
      <c r="H89" s="290"/>
      <c r="I89" s="290"/>
      <c r="J89" s="290"/>
      <c r="K89" s="290"/>
      <c r="L89" s="290"/>
      <c r="M89" s="290"/>
      <c r="N89" s="290"/>
      <c r="O89" s="290"/>
      <c r="P89" s="153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</row>
    <row r="90" spans="8:33" x14ac:dyDescent="0.25">
      <c r="H90" s="290"/>
      <c r="I90" s="290"/>
      <c r="J90" s="290"/>
      <c r="K90" s="290"/>
      <c r="L90" s="290"/>
      <c r="M90" s="290"/>
      <c r="N90" s="290"/>
      <c r="O90" s="290"/>
      <c r="P90" s="153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</row>
    <row r="91" spans="8:33" x14ac:dyDescent="0.25">
      <c r="H91" s="290"/>
      <c r="I91" s="290"/>
      <c r="J91" s="290"/>
      <c r="K91" s="290"/>
      <c r="L91" s="290"/>
      <c r="M91" s="290"/>
      <c r="N91" s="290"/>
      <c r="O91" s="290"/>
      <c r="P91" s="153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</row>
    <row r="92" spans="8:33" x14ac:dyDescent="0.25">
      <c r="H92" s="290"/>
      <c r="I92" s="290"/>
      <c r="J92" s="290"/>
      <c r="K92" s="290"/>
      <c r="L92" s="290"/>
      <c r="M92" s="290"/>
      <c r="N92" s="290"/>
      <c r="O92" s="290"/>
      <c r="P92" s="153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</row>
    <row r="93" spans="8:33" x14ac:dyDescent="0.25">
      <c r="H93" s="290"/>
      <c r="I93" s="290"/>
      <c r="J93" s="290"/>
      <c r="K93" s="290"/>
      <c r="L93" s="290"/>
      <c r="M93" s="290"/>
      <c r="N93" s="290"/>
      <c r="O93" s="290"/>
      <c r="P93" s="153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</row>
    <row r="94" spans="8:33" x14ac:dyDescent="0.25">
      <c r="H94" s="290"/>
      <c r="I94" s="290"/>
      <c r="J94" s="290"/>
      <c r="K94" s="290"/>
      <c r="L94" s="290"/>
      <c r="M94" s="290"/>
      <c r="N94" s="290"/>
      <c r="O94" s="290"/>
      <c r="P94" s="153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</row>
    <row r="95" spans="8:33" x14ac:dyDescent="0.25">
      <c r="H95" s="290"/>
      <c r="I95" s="290"/>
      <c r="J95" s="290"/>
      <c r="K95" s="290"/>
      <c r="L95" s="290"/>
      <c r="M95" s="290"/>
      <c r="N95" s="290"/>
      <c r="O95" s="290"/>
      <c r="P95" s="153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</row>
    <row r="96" spans="8:33" x14ac:dyDescent="0.25">
      <c r="H96" s="290"/>
      <c r="I96" s="290"/>
      <c r="J96" s="290"/>
      <c r="K96" s="290"/>
      <c r="L96" s="290"/>
      <c r="M96" s="290"/>
      <c r="N96" s="290"/>
      <c r="O96" s="290"/>
      <c r="P96" s="153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</row>
    <row r="97" spans="8:33" x14ac:dyDescent="0.25">
      <c r="H97" s="290"/>
      <c r="I97" s="290"/>
      <c r="J97" s="290"/>
      <c r="K97" s="290"/>
      <c r="L97" s="290"/>
      <c r="M97" s="290"/>
      <c r="N97" s="290"/>
      <c r="O97" s="290"/>
      <c r="P97" s="153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</row>
    <row r="98" spans="8:33" x14ac:dyDescent="0.25">
      <c r="H98" s="290"/>
      <c r="I98" s="290"/>
      <c r="J98" s="290"/>
      <c r="K98" s="290"/>
      <c r="L98" s="290"/>
      <c r="M98" s="290"/>
      <c r="N98" s="290"/>
      <c r="O98" s="290"/>
      <c r="P98" s="153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</row>
    <row r="99" spans="8:33" x14ac:dyDescent="0.25">
      <c r="H99" s="290"/>
      <c r="I99" s="290"/>
      <c r="J99" s="290"/>
      <c r="K99" s="290"/>
      <c r="L99" s="290"/>
      <c r="M99" s="290"/>
      <c r="N99" s="290"/>
      <c r="O99" s="290"/>
      <c r="P99" s="153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</row>
    <row r="100" spans="8:33" x14ac:dyDescent="0.25">
      <c r="H100" s="290"/>
      <c r="I100" s="290"/>
      <c r="J100" s="290"/>
      <c r="K100" s="290"/>
      <c r="L100" s="290"/>
      <c r="M100" s="290"/>
      <c r="N100" s="290"/>
      <c r="O100" s="290"/>
      <c r="P100" s="153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</row>
    <row r="101" spans="8:33" x14ac:dyDescent="0.25">
      <c r="H101" s="290"/>
      <c r="I101" s="290"/>
      <c r="J101" s="290"/>
      <c r="K101" s="290"/>
      <c r="L101" s="290"/>
      <c r="M101" s="290"/>
      <c r="N101" s="290"/>
      <c r="O101" s="290"/>
      <c r="P101" s="153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</row>
    <row r="102" spans="8:33" x14ac:dyDescent="0.25">
      <c r="H102" s="290"/>
      <c r="I102" s="290"/>
      <c r="J102" s="290"/>
      <c r="K102" s="290"/>
      <c r="L102" s="290"/>
      <c r="M102" s="290"/>
      <c r="N102" s="290"/>
      <c r="O102" s="290"/>
      <c r="P102" s="153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</row>
    <row r="103" spans="8:33" x14ac:dyDescent="0.25">
      <c r="H103" s="290"/>
      <c r="I103" s="290"/>
      <c r="J103" s="290"/>
      <c r="K103" s="290"/>
      <c r="L103" s="290"/>
      <c r="M103" s="290"/>
      <c r="N103" s="290"/>
      <c r="O103" s="290"/>
      <c r="P103" s="153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</row>
    <row r="104" spans="8:33" x14ac:dyDescent="0.25">
      <c r="H104" s="290"/>
      <c r="I104" s="290"/>
      <c r="J104" s="290"/>
      <c r="K104" s="290"/>
      <c r="L104" s="290"/>
      <c r="M104" s="290"/>
      <c r="N104" s="290"/>
      <c r="O104" s="290"/>
      <c r="P104" s="153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</row>
    <row r="105" spans="8:33" x14ac:dyDescent="0.25">
      <c r="H105" s="290"/>
      <c r="I105" s="290"/>
      <c r="J105" s="290"/>
      <c r="K105" s="290"/>
      <c r="L105" s="290"/>
      <c r="M105" s="290"/>
      <c r="N105" s="290"/>
      <c r="O105" s="290"/>
      <c r="P105" s="153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</row>
    <row r="106" spans="8:33" x14ac:dyDescent="0.25">
      <c r="H106" s="290"/>
      <c r="I106" s="290"/>
      <c r="J106" s="290"/>
      <c r="K106" s="290"/>
      <c r="L106" s="290"/>
      <c r="M106" s="290"/>
      <c r="N106" s="290"/>
      <c r="O106" s="290"/>
      <c r="P106" s="153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</row>
    <row r="107" spans="8:33" x14ac:dyDescent="0.25">
      <c r="H107" s="290"/>
      <c r="I107" s="290"/>
      <c r="J107" s="290"/>
      <c r="K107" s="290"/>
      <c r="L107" s="290"/>
      <c r="M107" s="290"/>
      <c r="N107" s="290"/>
      <c r="O107" s="290"/>
      <c r="P107" s="153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</row>
    <row r="108" spans="8:33" x14ac:dyDescent="0.25">
      <c r="H108" s="290"/>
      <c r="I108" s="290"/>
      <c r="J108" s="290"/>
      <c r="K108" s="290"/>
      <c r="L108" s="290"/>
      <c r="M108" s="290"/>
      <c r="N108" s="290"/>
      <c r="O108" s="290"/>
      <c r="P108" s="153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</row>
    <row r="109" spans="8:33" x14ac:dyDescent="0.25">
      <c r="H109" s="290"/>
      <c r="I109" s="290"/>
      <c r="J109" s="290"/>
      <c r="K109" s="290"/>
      <c r="L109" s="290"/>
      <c r="M109" s="290"/>
      <c r="N109" s="290"/>
      <c r="O109" s="290"/>
      <c r="P109" s="153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</row>
    <row r="110" spans="8:33" x14ac:dyDescent="0.25">
      <c r="H110" s="290"/>
      <c r="I110" s="290"/>
      <c r="J110" s="290"/>
      <c r="K110" s="290"/>
      <c r="L110" s="290"/>
      <c r="M110" s="290"/>
      <c r="N110" s="290"/>
      <c r="O110" s="290"/>
      <c r="P110" s="153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</row>
    <row r="111" spans="8:33" x14ac:dyDescent="0.25">
      <c r="H111" s="290"/>
      <c r="I111" s="290"/>
      <c r="J111" s="290"/>
      <c r="K111" s="290"/>
      <c r="L111" s="290"/>
      <c r="M111" s="290"/>
      <c r="N111" s="290"/>
      <c r="O111" s="290"/>
      <c r="P111" s="153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</row>
    <row r="112" spans="8:33" x14ac:dyDescent="0.25">
      <c r="H112" s="290"/>
      <c r="I112" s="290"/>
      <c r="J112" s="290"/>
      <c r="K112" s="290"/>
      <c r="L112" s="290"/>
      <c r="M112" s="290"/>
      <c r="N112" s="290"/>
      <c r="O112" s="290"/>
      <c r="P112" s="153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</row>
    <row r="113" spans="8:33" x14ac:dyDescent="0.25">
      <c r="H113" s="290"/>
      <c r="I113" s="290"/>
      <c r="J113" s="290"/>
      <c r="K113" s="290"/>
      <c r="L113" s="290"/>
      <c r="M113" s="290"/>
      <c r="N113" s="290"/>
      <c r="O113" s="290"/>
      <c r="P113" s="153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</row>
    <row r="114" spans="8:33" x14ac:dyDescent="0.25">
      <c r="H114" s="290"/>
      <c r="I114" s="290"/>
      <c r="J114" s="290"/>
      <c r="K114" s="290"/>
      <c r="L114" s="290"/>
      <c r="M114" s="290"/>
      <c r="N114" s="290"/>
      <c r="O114" s="290"/>
      <c r="P114" s="153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</row>
    <row r="115" spans="8:33" x14ac:dyDescent="0.25">
      <c r="H115" s="290"/>
      <c r="I115" s="290"/>
      <c r="J115" s="290"/>
      <c r="K115" s="290"/>
      <c r="L115" s="290"/>
      <c r="M115" s="290"/>
      <c r="N115" s="290"/>
      <c r="O115" s="290"/>
      <c r="P115" s="153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</row>
    <row r="116" spans="8:33" x14ac:dyDescent="0.25">
      <c r="H116" s="290"/>
      <c r="I116" s="290"/>
      <c r="J116" s="290"/>
      <c r="K116" s="290"/>
      <c r="L116" s="290"/>
      <c r="M116" s="290"/>
      <c r="N116" s="290"/>
      <c r="O116" s="290"/>
      <c r="P116" s="153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</row>
    <row r="117" spans="8:33" x14ac:dyDescent="0.25">
      <c r="H117" s="290"/>
      <c r="I117" s="290"/>
      <c r="J117" s="290"/>
      <c r="K117" s="290"/>
      <c r="L117" s="290"/>
      <c r="M117" s="290"/>
      <c r="N117" s="290"/>
      <c r="O117" s="290"/>
      <c r="P117" s="153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</row>
    <row r="118" spans="8:33" x14ac:dyDescent="0.25">
      <c r="H118" s="290"/>
      <c r="I118" s="290"/>
      <c r="J118" s="290"/>
      <c r="K118" s="290"/>
      <c r="L118" s="290"/>
      <c r="M118" s="290"/>
      <c r="N118" s="290"/>
      <c r="O118" s="290"/>
      <c r="P118" s="153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</row>
    <row r="119" spans="8:33" x14ac:dyDescent="0.25">
      <c r="H119" s="290"/>
      <c r="I119" s="290"/>
      <c r="J119" s="290"/>
      <c r="K119" s="290"/>
      <c r="L119" s="290"/>
      <c r="M119" s="290"/>
      <c r="N119" s="290"/>
      <c r="O119" s="290"/>
      <c r="P119" s="153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</row>
    <row r="120" spans="8:33" x14ac:dyDescent="0.25">
      <c r="H120" s="290"/>
      <c r="I120" s="290"/>
      <c r="J120" s="290"/>
      <c r="K120" s="290"/>
      <c r="L120" s="290"/>
      <c r="M120" s="290"/>
      <c r="N120" s="290"/>
      <c r="O120" s="290"/>
      <c r="P120" s="153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</row>
    <row r="121" spans="8:33" x14ac:dyDescent="0.25">
      <c r="H121" s="290"/>
      <c r="I121" s="290"/>
      <c r="J121" s="290"/>
      <c r="K121" s="290"/>
      <c r="L121" s="290"/>
      <c r="M121" s="290"/>
      <c r="N121" s="290"/>
      <c r="O121" s="290"/>
      <c r="P121" s="153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</row>
    <row r="122" spans="8:33" x14ac:dyDescent="0.25">
      <c r="H122" s="290"/>
      <c r="I122" s="290"/>
      <c r="J122" s="290"/>
      <c r="K122" s="290"/>
      <c r="L122" s="290"/>
      <c r="M122" s="290"/>
      <c r="N122" s="290"/>
      <c r="O122" s="290"/>
      <c r="P122" s="153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</row>
    <row r="123" spans="8:33" x14ac:dyDescent="0.25">
      <c r="H123" s="290"/>
      <c r="I123" s="290"/>
      <c r="J123" s="290"/>
      <c r="K123" s="290"/>
      <c r="L123" s="290"/>
      <c r="M123" s="290"/>
      <c r="N123" s="290"/>
      <c r="O123" s="290"/>
      <c r="P123" s="153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</row>
    <row r="124" spans="8:33" x14ac:dyDescent="0.25">
      <c r="H124" s="290"/>
      <c r="I124" s="290"/>
      <c r="J124" s="290"/>
      <c r="K124" s="290"/>
      <c r="L124" s="290"/>
      <c r="M124" s="290"/>
      <c r="N124" s="290"/>
      <c r="O124" s="290"/>
      <c r="P124" s="153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</row>
    <row r="125" spans="8:33" x14ac:dyDescent="0.25">
      <c r="H125" s="290"/>
      <c r="I125" s="290"/>
      <c r="J125" s="290"/>
      <c r="K125" s="290"/>
      <c r="L125" s="290"/>
      <c r="M125" s="290"/>
      <c r="N125" s="290"/>
      <c r="O125" s="290"/>
      <c r="P125" s="153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</row>
    <row r="126" spans="8:33" x14ac:dyDescent="0.25">
      <c r="H126" s="290"/>
      <c r="I126" s="290"/>
      <c r="J126" s="290"/>
      <c r="K126" s="290"/>
      <c r="L126" s="290"/>
      <c r="M126" s="290"/>
      <c r="N126" s="290"/>
      <c r="O126" s="290"/>
      <c r="P126" s="153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</row>
    <row r="127" spans="8:33" x14ac:dyDescent="0.25">
      <c r="H127" s="290"/>
      <c r="I127" s="290"/>
      <c r="J127" s="290"/>
      <c r="K127" s="290"/>
      <c r="L127" s="290"/>
      <c r="M127" s="290"/>
      <c r="N127" s="290"/>
      <c r="O127" s="290"/>
      <c r="P127" s="153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</row>
    <row r="128" spans="8:33" x14ac:dyDescent="0.25">
      <c r="H128" s="290"/>
      <c r="I128" s="290"/>
      <c r="J128" s="290"/>
      <c r="K128" s="290"/>
      <c r="L128" s="290"/>
      <c r="M128" s="290"/>
      <c r="N128" s="290"/>
      <c r="O128" s="290"/>
      <c r="P128" s="153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</row>
    <row r="129" spans="8:33" x14ac:dyDescent="0.25">
      <c r="H129" s="290"/>
      <c r="I129" s="290"/>
      <c r="J129" s="290"/>
      <c r="K129" s="290"/>
      <c r="L129" s="290"/>
      <c r="M129" s="290"/>
      <c r="N129" s="290"/>
      <c r="O129" s="290"/>
      <c r="P129" s="153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</row>
    <row r="130" spans="8:33" x14ac:dyDescent="0.25">
      <c r="H130" s="290"/>
      <c r="I130" s="290"/>
      <c r="J130" s="290"/>
      <c r="K130" s="290"/>
      <c r="L130" s="290"/>
      <c r="M130" s="290"/>
      <c r="N130" s="290"/>
      <c r="O130" s="290"/>
      <c r="P130" s="153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</row>
    <row r="131" spans="8:33" x14ac:dyDescent="0.25">
      <c r="H131" s="290"/>
      <c r="I131" s="290"/>
      <c r="J131" s="290"/>
      <c r="K131" s="290"/>
      <c r="L131" s="290"/>
      <c r="M131" s="290"/>
      <c r="N131" s="290"/>
      <c r="O131" s="290"/>
      <c r="P131" s="153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</row>
    <row r="132" spans="8:33" x14ac:dyDescent="0.25">
      <c r="H132" s="290"/>
      <c r="I132" s="290"/>
      <c r="J132" s="290"/>
      <c r="K132" s="290"/>
      <c r="L132" s="290"/>
      <c r="M132" s="290"/>
      <c r="N132" s="290"/>
      <c r="O132" s="290"/>
      <c r="P132" s="153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</row>
    <row r="133" spans="8:33" x14ac:dyDescent="0.25">
      <c r="H133" s="290"/>
      <c r="I133" s="290"/>
      <c r="J133" s="290"/>
      <c r="K133" s="290"/>
      <c r="L133" s="290"/>
      <c r="M133" s="290"/>
      <c r="N133" s="290"/>
      <c r="O133" s="290"/>
      <c r="P133" s="153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</row>
    <row r="134" spans="8:33" x14ac:dyDescent="0.25">
      <c r="H134" s="290"/>
      <c r="I134" s="290"/>
      <c r="J134" s="290"/>
      <c r="K134" s="290"/>
      <c r="L134" s="290"/>
      <c r="M134" s="290"/>
      <c r="N134" s="290"/>
      <c r="O134" s="290"/>
      <c r="P134" s="153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</row>
    <row r="135" spans="8:33" x14ac:dyDescent="0.25">
      <c r="H135" s="290"/>
      <c r="I135" s="290"/>
      <c r="J135" s="290"/>
      <c r="K135" s="290"/>
      <c r="L135" s="290"/>
      <c r="M135" s="290"/>
      <c r="N135" s="290"/>
      <c r="O135" s="290"/>
      <c r="P135" s="153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</row>
    <row r="136" spans="8:33" x14ac:dyDescent="0.25">
      <c r="H136" s="290"/>
      <c r="I136" s="290"/>
      <c r="J136" s="290"/>
      <c r="K136" s="290"/>
      <c r="L136" s="290"/>
      <c r="M136" s="290"/>
      <c r="N136" s="290"/>
      <c r="O136" s="290"/>
      <c r="P136" s="153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</row>
    <row r="137" spans="8:33" x14ac:dyDescent="0.25">
      <c r="H137" s="290"/>
      <c r="I137" s="290"/>
      <c r="J137" s="290"/>
      <c r="K137" s="290"/>
      <c r="L137" s="290"/>
      <c r="M137" s="290"/>
      <c r="N137" s="290"/>
      <c r="O137" s="290"/>
      <c r="P137" s="153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</row>
    <row r="138" spans="8:33" x14ac:dyDescent="0.25">
      <c r="H138" s="290"/>
      <c r="I138" s="290"/>
      <c r="J138" s="290"/>
      <c r="K138" s="290"/>
      <c r="L138" s="290"/>
      <c r="M138" s="290"/>
      <c r="N138" s="290"/>
      <c r="O138" s="290"/>
      <c r="P138" s="153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</row>
    <row r="139" spans="8:33" x14ac:dyDescent="0.25">
      <c r="H139" s="290"/>
      <c r="I139" s="290"/>
      <c r="J139" s="290"/>
      <c r="K139" s="290"/>
      <c r="L139" s="290"/>
      <c r="M139" s="290"/>
      <c r="N139" s="290"/>
      <c r="O139" s="290"/>
      <c r="P139" s="153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</row>
    <row r="140" spans="8:33" x14ac:dyDescent="0.25">
      <c r="H140" s="290"/>
      <c r="I140" s="290"/>
      <c r="J140" s="290"/>
      <c r="K140" s="290"/>
      <c r="L140" s="290"/>
      <c r="M140" s="290"/>
      <c r="N140" s="290"/>
      <c r="O140" s="290"/>
      <c r="P140" s="153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</row>
    <row r="141" spans="8:33" x14ac:dyDescent="0.25">
      <c r="H141" s="290"/>
      <c r="I141" s="290"/>
      <c r="J141" s="290"/>
      <c r="K141" s="290"/>
      <c r="L141" s="290"/>
      <c r="M141" s="290"/>
      <c r="N141" s="290"/>
      <c r="O141" s="290"/>
      <c r="P141" s="153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</row>
    <row r="142" spans="8:33" x14ac:dyDescent="0.25">
      <c r="H142" s="290"/>
      <c r="I142" s="290"/>
      <c r="J142" s="290"/>
      <c r="K142" s="290"/>
      <c r="L142" s="290"/>
      <c r="M142" s="290"/>
      <c r="N142" s="290"/>
      <c r="O142" s="290"/>
      <c r="P142" s="153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</row>
    <row r="143" spans="8:33" x14ac:dyDescent="0.25">
      <c r="H143" s="290"/>
      <c r="I143" s="290"/>
      <c r="J143" s="290"/>
      <c r="K143" s="290"/>
      <c r="L143" s="290"/>
      <c r="M143" s="290"/>
      <c r="N143" s="290"/>
      <c r="O143" s="290"/>
      <c r="P143" s="153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</row>
    <row r="144" spans="8:33" x14ac:dyDescent="0.25">
      <c r="H144" s="290"/>
      <c r="I144" s="290"/>
      <c r="J144" s="290"/>
      <c r="K144" s="290"/>
      <c r="L144" s="290"/>
      <c r="M144" s="290"/>
      <c r="N144" s="290"/>
      <c r="O144" s="290"/>
      <c r="P144" s="153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</row>
    <row r="145" spans="8:33" x14ac:dyDescent="0.25">
      <c r="H145" s="290"/>
      <c r="I145" s="290"/>
      <c r="J145" s="290"/>
      <c r="K145" s="290"/>
      <c r="L145" s="290"/>
      <c r="M145" s="290"/>
      <c r="N145" s="290"/>
      <c r="O145" s="290"/>
      <c r="P145" s="153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</row>
    <row r="146" spans="8:33" x14ac:dyDescent="0.25">
      <c r="H146" s="290"/>
      <c r="I146" s="290"/>
      <c r="J146" s="290"/>
      <c r="K146" s="290"/>
      <c r="L146" s="290"/>
      <c r="M146" s="290"/>
      <c r="N146" s="290"/>
      <c r="O146" s="290"/>
      <c r="P146" s="153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</row>
    <row r="147" spans="8:33" x14ac:dyDescent="0.25">
      <c r="H147" s="290"/>
      <c r="I147" s="290"/>
      <c r="J147" s="290"/>
      <c r="K147" s="290"/>
      <c r="L147" s="290"/>
      <c r="M147" s="290"/>
      <c r="N147" s="290"/>
      <c r="O147" s="290"/>
      <c r="P147" s="153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</row>
    <row r="148" spans="8:33" x14ac:dyDescent="0.25">
      <c r="H148" s="290"/>
      <c r="I148" s="290"/>
      <c r="J148" s="290"/>
      <c r="K148" s="290"/>
      <c r="L148" s="290"/>
      <c r="M148" s="290"/>
      <c r="N148" s="290"/>
      <c r="O148" s="290"/>
      <c r="P148" s="153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</row>
    <row r="149" spans="8:33" x14ac:dyDescent="0.25">
      <c r="H149" s="290"/>
      <c r="I149" s="290"/>
      <c r="J149" s="290"/>
      <c r="K149" s="290"/>
      <c r="L149" s="290"/>
      <c r="M149" s="290"/>
      <c r="N149" s="290"/>
      <c r="O149" s="290"/>
      <c r="P149" s="153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</row>
    <row r="150" spans="8:33" x14ac:dyDescent="0.25">
      <c r="H150" s="290"/>
      <c r="I150" s="290"/>
      <c r="J150" s="290"/>
      <c r="K150" s="290"/>
      <c r="L150" s="290"/>
      <c r="M150" s="290"/>
      <c r="N150" s="290"/>
      <c r="O150" s="290"/>
      <c r="P150" s="153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</row>
    <row r="151" spans="8:33" x14ac:dyDescent="0.25">
      <c r="H151" s="290"/>
      <c r="I151" s="290"/>
      <c r="J151" s="290"/>
      <c r="K151" s="290"/>
      <c r="L151" s="290"/>
      <c r="M151" s="290"/>
      <c r="N151" s="290"/>
      <c r="O151" s="290"/>
      <c r="P151" s="153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</row>
    <row r="152" spans="8:33" x14ac:dyDescent="0.25">
      <c r="H152" s="290"/>
      <c r="I152" s="290"/>
      <c r="J152" s="290"/>
      <c r="K152" s="290"/>
      <c r="L152" s="290"/>
      <c r="M152" s="290"/>
      <c r="N152" s="290"/>
      <c r="O152" s="290"/>
      <c r="P152" s="153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</row>
    <row r="153" spans="8:33" x14ac:dyDescent="0.25">
      <c r="H153" s="290"/>
      <c r="I153" s="290"/>
      <c r="J153" s="290"/>
      <c r="K153" s="290"/>
      <c r="L153" s="290"/>
      <c r="M153" s="290"/>
      <c r="N153" s="290"/>
      <c r="O153" s="290"/>
      <c r="P153" s="153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</row>
    <row r="154" spans="8:33" x14ac:dyDescent="0.25">
      <c r="H154" s="290"/>
      <c r="I154" s="290"/>
      <c r="J154" s="290"/>
      <c r="K154" s="290"/>
      <c r="L154" s="290"/>
      <c r="M154" s="290"/>
      <c r="N154" s="290"/>
      <c r="O154" s="290"/>
      <c r="P154" s="153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</row>
    <row r="155" spans="8:33" x14ac:dyDescent="0.25">
      <c r="H155" s="290"/>
      <c r="I155" s="290"/>
      <c r="J155" s="290"/>
      <c r="K155" s="290"/>
      <c r="L155" s="290"/>
      <c r="M155" s="290"/>
      <c r="N155" s="290"/>
      <c r="O155" s="290"/>
      <c r="P155" s="153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</row>
    <row r="156" spans="8:33" x14ac:dyDescent="0.25">
      <c r="H156" s="290"/>
      <c r="I156" s="290"/>
      <c r="J156" s="290"/>
      <c r="K156" s="290"/>
      <c r="L156" s="290"/>
      <c r="M156" s="290"/>
      <c r="N156" s="290"/>
      <c r="O156" s="290"/>
      <c r="P156" s="153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</row>
    <row r="157" spans="8:33" x14ac:dyDescent="0.25">
      <c r="H157" s="290"/>
      <c r="I157" s="290"/>
      <c r="J157" s="290"/>
      <c r="K157" s="290"/>
      <c r="L157" s="290"/>
      <c r="M157" s="290"/>
      <c r="N157" s="290"/>
      <c r="O157" s="290"/>
      <c r="P157" s="153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</row>
    <row r="158" spans="8:33" x14ac:dyDescent="0.25">
      <c r="H158" s="290"/>
      <c r="I158" s="290"/>
      <c r="J158" s="290"/>
      <c r="K158" s="290"/>
      <c r="L158" s="290"/>
      <c r="M158" s="290"/>
      <c r="N158" s="290"/>
      <c r="O158" s="290"/>
      <c r="P158" s="153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</row>
    <row r="159" spans="8:33" x14ac:dyDescent="0.25">
      <c r="H159" s="290"/>
      <c r="I159" s="290"/>
      <c r="J159" s="290"/>
      <c r="K159" s="290"/>
      <c r="L159" s="290"/>
      <c r="M159" s="290"/>
      <c r="N159" s="290"/>
      <c r="O159" s="290"/>
      <c r="P159" s="153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</row>
    <row r="160" spans="8:33" x14ac:dyDescent="0.25">
      <c r="H160" s="290"/>
      <c r="I160" s="290"/>
      <c r="J160" s="290"/>
      <c r="K160" s="290"/>
      <c r="L160" s="290"/>
      <c r="M160" s="290"/>
      <c r="N160" s="290"/>
      <c r="O160" s="290"/>
      <c r="P160" s="153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</row>
    <row r="161" spans="8:33" x14ac:dyDescent="0.25">
      <c r="H161" s="290"/>
      <c r="I161" s="290"/>
      <c r="J161" s="290"/>
      <c r="K161" s="290"/>
      <c r="L161" s="290"/>
      <c r="M161" s="290"/>
      <c r="N161" s="290"/>
      <c r="O161" s="290"/>
      <c r="P161" s="153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</row>
    <row r="162" spans="8:33" x14ac:dyDescent="0.25">
      <c r="H162" s="290"/>
      <c r="I162" s="290"/>
      <c r="J162" s="290"/>
      <c r="K162" s="290"/>
      <c r="L162" s="290"/>
      <c r="M162" s="290"/>
      <c r="N162" s="290"/>
      <c r="O162" s="290"/>
      <c r="P162" s="153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</row>
    <row r="163" spans="8:33" x14ac:dyDescent="0.25">
      <c r="H163" s="290"/>
      <c r="I163" s="290"/>
      <c r="J163" s="290"/>
      <c r="K163" s="290"/>
      <c r="L163" s="290"/>
      <c r="M163" s="290"/>
      <c r="N163" s="290"/>
      <c r="O163" s="290"/>
      <c r="P163" s="153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</row>
    <row r="164" spans="8:33" x14ac:dyDescent="0.25">
      <c r="H164" s="290"/>
      <c r="I164" s="290"/>
      <c r="J164" s="290"/>
      <c r="K164" s="290"/>
      <c r="L164" s="290"/>
      <c r="M164" s="290"/>
      <c r="N164" s="290"/>
      <c r="O164" s="290"/>
      <c r="P164" s="153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</row>
    <row r="165" spans="8:33" x14ac:dyDescent="0.25">
      <c r="H165" s="290"/>
      <c r="I165" s="290"/>
      <c r="J165" s="290"/>
      <c r="K165" s="290"/>
      <c r="L165" s="290"/>
      <c r="M165" s="290"/>
      <c r="N165" s="290"/>
      <c r="O165" s="290"/>
      <c r="P165" s="153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</row>
    <row r="166" spans="8:33" x14ac:dyDescent="0.25">
      <c r="H166" s="290"/>
      <c r="I166" s="290"/>
      <c r="J166" s="290"/>
      <c r="K166" s="290"/>
      <c r="L166" s="290"/>
      <c r="M166" s="290"/>
      <c r="N166" s="290"/>
      <c r="O166" s="290"/>
      <c r="P166" s="153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</row>
    <row r="167" spans="8:33" x14ac:dyDescent="0.25">
      <c r="H167" s="290"/>
      <c r="I167" s="290"/>
      <c r="J167" s="290"/>
      <c r="K167" s="290"/>
      <c r="L167" s="290"/>
      <c r="M167" s="290"/>
      <c r="N167" s="290"/>
      <c r="O167" s="290"/>
      <c r="P167" s="153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</row>
    <row r="168" spans="8:33" x14ac:dyDescent="0.25">
      <c r="H168" s="290"/>
      <c r="I168" s="290"/>
      <c r="J168" s="290"/>
      <c r="K168" s="290"/>
      <c r="L168" s="290"/>
      <c r="M168" s="290"/>
      <c r="N168" s="290"/>
      <c r="O168" s="290"/>
      <c r="P168" s="153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</row>
    <row r="169" spans="8:33" x14ac:dyDescent="0.25">
      <c r="H169" s="290"/>
      <c r="I169" s="290"/>
      <c r="J169" s="290"/>
      <c r="K169" s="290"/>
      <c r="L169" s="290"/>
      <c r="M169" s="290"/>
      <c r="N169" s="290"/>
      <c r="O169" s="290"/>
      <c r="P169" s="153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</row>
    <row r="170" spans="8:33" x14ac:dyDescent="0.25">
      <c r="H170" s="290"/>
      <c r="I170" s="290"/>
      <c r="J170" s="290"/>
      <c r="K170" s="290"/>
      <c r="L170" s="290"/>
      <c r="M170" s="290"/>
      <c r="N170" s="290"/>
      <c r="O170" s="290"/>
      <c r="P170" s="153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</row>
    <row r="171" spans="8:33" x14ac:dyDescent="0.25">
      <c r="H171" s="290"/>
      <c r="I171" s="290"/>
      <c r="J171" s="290"/>
      <c r="K171" s="290"/>
      <c r="L171" s="290"/>
      <c r="M171" s="290"/>
      <c r="N171" s="290"/>
      <c r="O171" s="290"/>
      <c r="P171" s="153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</row>
    <row r="172" spans="8:33" x14ac:dyDescent="0.25">
      <c r="H172" s="290"/>
      <c r="I172" s="290"/>
      <c r="J172" s="290"/>
      <c r="K172" s="290"/>
      <c r="L172" s="290"/>
      <c r="M172" s="290"/>
      <c r="N172" s="290"/>
      <c r="O172" s="290"/>
      <c r="P172" s="153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</row>
    <row r="173" spans="8:33" x14ac:dyDescent="0.25">
      <c r="H173" s="290"/>
      <c r="I173" s="290"/>
      <c r="J173" s="290"/>
      <c r="K173" s="290"/>
      <c r="L173" s="290"/>
      <c r="M173" s="290"/>
      <c r="N173" s="290"/>
      <c r="O173" s="290"/>
      <c r="P173" s="153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</row>
    <row r="174" spans="8:33" x14ac:dyDescent="0.25">
      <c r="H174" s="290"/>
      <c r="I174" s="290"/>
      <c r="J174" s="290"/>
      <c r="K174" s="290"/>
      <c r="L174" s="290"/>
      <c r="M174" s="290"/>
      <c r="N174" s="290"/>
      <c r="O174" s="290"/>
      <c r="P174" s="153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</row>
    <row r="175" spans="8:33" x14ac:dyDescent="0.25">
      <c r="H175" s="290"/>
      <c r="I175" s="290"/>
      <c r="J175" s="290"/>
      <c r="K175" s="290"/>
      <c r="L175" s="290"/>
      <c r="M175" s="290"/>
      <c r="N175" s="290"/>
      <c r="O175" s="290"/>
      <c r="P175" s="153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</row>
    <row r="176" spans="8:33" x14ac:dyDescent="0.25">
      <c r="H176" s="290"/>
      <c r="I176" s="290"/>
      <c r="J176" s="290"/>
      <c r="K176" s="290"/>
      <c r="L176" s="290"/>
      <c r="M176" s="290"/>
      <c r="N176" s="290"/>
      <c r="O176" s="290"/>
      <c r="P176" s="153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</row>
    <row r="177" spans="8:33" x14ac:dyDescent="0.25">
      <c r="H177" s="290"/>
      <c r="I177" s="290"/>
      <c r="J177" s="290"/>
      <c r="K177" s="290"/>
      <c r="L177" s="290"/>
      <c r="M177" s="290"/>
      <c r="N177" s="290"/>
      <c r="O177" s="290"/>
      <c r="P177" s="153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</row>
    <row r="178" spans="8:33" x14ac:dyDescent="0.25">
      <c r="H178" s="290"/>
      <c r="I178" s="290"/>
      <c r="J178" s="290"/>
      <c r="K178" s="290"/>
      <c r="L178" s="290"/>
      <c r="M178" s="290"/>
      <c r="N178" s="290"/>
      <c r="O178" s="290"/>
      <c r="P178" s="153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</row>
    <row r="179" spans="8:33" x14ac:dyDescent="0.25">
      <c r="H179" s="290"/>
      <c r="I179" s="290"/>
      <c r="J179" s="290"/>
      <c r="K179" s="290"/>
      <c r="L179" s="290"/>
      <c r="M179" s="290"/>
      <c r="N179" s="290"/>
      <c r="O179" s="290"/>
      <c r="P179" s="153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</row>
    <row r="180" spans="8:33" x14ac:dyDescent="0.25">
      <c r="H180" s="290"/>
      <c r="I180" s="290"/>
      <c r="J180" s="290"/>
      <c r="K180" s="290"/>
      <c r="L180" s="290"/>
      <c r="M180" s="290"/>
      <c r="N180" s="290"/>
      <c r="O180" s="290"/>
      <c r="P180" s="153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</row>
    <row r="181" spans="8:33" x14ac:dyDescent="0.25">
      <c r="H181" s="290"/>
      <c r="I181" s="290"/>
      <c r="J181" s="290"/>
      <c r="K181" s="290"/>
      <c r="L181" s="290"/>
      <c r="M181" s="290"/>
      <c r="N181" s="290"/>
      <c r="O181" s="290"/>
      <c r="P181" s="153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</row>
    <row r="182" spans="8:33" x14ac:dyDescent="0.25">
      <c r="H182" s="290"/>
      <c r="I182" s="290"/>
      <c r="J182" s="290"/>
      <c r="K182" s="290"/>
      <c r="L182" s="290"/>
      <c r="M182" s="290"/>
      <c r="N182" s="290"/>
      <c r="O182" s="290"/>
      <c r="P182" s="153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</row>
    <row r="183" spans="8:33" x14ac:dyDescent="0.25">
      <c r="H183" s="290"/>
      <c r="I183" s="290"/>
      <c r="J183" s="290"/>
      <c r="K183" s="290"/>
      <c r="L183" s="290"/>
      <c r="M183" s="290"/>
      <c r="N183" s="290"/>
      <c r="O183" s="290"/>
      <c r="P183" s="153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</row>
    <row r="184" spans="8:33" x14ac:dyDescent="0.25">
      <c r="H184" s="290"/>
      <c r="I184" s="290"/>
      <c r="J184" s="290"/>
      <c r="K184" s="290"/>
      <c r="L184" s="290"/>
      <c r="M184" s="290"/>
      <c r="N184" s="290"/>
      <c r="O184" s="290"/>
      <c r="P184" s="153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</row>
    <row r="185" spans="8:33" x14ac:dyDescent="0.25">
      <c r="H185" s="290"/>
      <c r="I185" s="290"/>
      <c r="J185" s="290"/>
      <c r="K185" s="290"/>
      <c r="L185" s="290"/>
      <c r="M185" s="290"/>
      <c r="N185" s="290"/>
      <c r="O185" s="290"/>
      <c r="P185" s="153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</row>
    <row r="186" spans="8:33" x14ac:dyDescent="0.25">
      <c r="H186" s="290"/>
      <c r="I186" s="290"/>
      <c r="J186" s="290"/>
      <c r="K186" s="290"/>
      <c r="L186" s="290"/>
      <c r="M186" s="290"/>
      <c r="N186" s="290"/>
      <c r="O186" s="290"/>
      <c r="P186" s="153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</row>
    <row r="187" spans="8:33" x14ac:dyDescent="0.25">
      <c r="H187" s="290"/>
      <c r="I187" s="290"/>
      <c r="J187" s="290"/>
      <c r="K187" s="290"/>
      <c r="L187" s="290"/>
      <c r="M187" s="290"/>
      <c r="N187" s="290"/>
      <c r="O187" s="290"/>
      <c r="P187" s="153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</row>
    <row r="188" spans="8:33" x14ac:dyDescent="0.25">
      <c r="H188" s="290"/>
      <c r="I188" s="290"/>
      <c r="J188" s="290"/>
      <c r="K188" s="290"/>
      <c r="L188" s="290"/>
      <c r="M188" s="290"/>
      <c r="N188" s="290"/>
      <c r="O188" s="290"/>
      <c r="P188" s="153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</row>
    <row r="189" spans="8:33" x14ac:dyDescent="0.25">
      <c r="H189" s="290"/>
      <c r="I189" s="290"/>
      <c r="J189" s="290"/>
      <c r="K189" s="290"/>
      <c r="L189" s="290"/>
      <c r="M189" s="290"/>
      <c r="N189" s="290"/>
      <c r="O189" s="290"/>
      <c r="P189" s="153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</row>
    <row r="190" spans="8:33" x14ac:dyDescent="0.25">
      <c r="H190" s="290"/>
      <c r="I190" s="290"/>
      <c r="J190" s="290"/>
      <c r="K190" s="290"/>
      <c r="L190" s="290"/>
      <c r="M190" s="290"/>
      <c r="N190" s="290"/>
      <c r="O190" s="290"/>
      <c r="P190" s="153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</row>
    <row r="191" spans="8:33" x14ac:dyDescent="0.25">
      <c r="H191" s="290"/>
      <c r="I191" s="290"/>
      <c r="J191" s="290"/>
      <c r="K191" s="290"/>
      <c r="L191" s="290"/>
      <c r="M191" s="290"/>
      <c r="N191" s="290"/>
      <c r="O191" s="290"/>
      <c r="P191" s="153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</row>
    <row r="192" spans="8:33" x14ac:dyDescent="0.25">
      <c r="H192" s="290"/>
      <c r="I192" s="290"/>
      <c r="J192" s="290"/>
      <c r="K192" s="290"/>
      <c r="L192" s="290"/>
      <c r="M192" s="290"/>
      <c r="N192" s="290"/>
      <c r="O192" s="290"/>
      <c r="P192" s="153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</row>
    <row r="193" spans="8:33" x14ac:dyDescent="0.25">
      <c r="H193" s="290"/>
      <c r="I193" s="290"/>
      <c r="J193" s="290"/>
      <c r="K193" s="290"/>
      <c r="L193" s="290"/>
      <c r="M193" s="290"/>
      <c r="N193" s="290"/>
      <c r="O193" s="290"/>
      <c r="P193" s="153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</row>
    <row r="194" spans="8:33" x14ac:dyDescent="0.25">
      <c r="H194" s="290"/>
      <c r="I194" s="290"/>
      <c r="J194" s="290"/>
      <c r="K194" s="290"/>
      <c r="L194" s="290"/>
      <c r="M194" s="290"/>
      <c r="N194" s="290"/>
      <c r="O194" s="290"/>
      <c r="P194" s="153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</row>
    <row r="195" spans="8:33" x14ac:dyDescent="0.25">
      <c r="H195" s="290"/>
      <c r="I195" s="290"/>
      <c r="J195" s="290"/>
      <c r="K195" s="290"/>
      <c r="L195" s="290"/>
      <c r="M195" s="290"/>
      <c r="N195" s="290"/>
      <c r="O195" s="290"/>
      <c r="P195" s="153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</row>
    <row r="196" spans="8:33" x14ac:dyDescent="0.25">
      <c r="H196" s="290"/>
      <c r="I196" s="290"/>
      <c r="J196" s="290"/>
      <c r="K196" s="290"/>
      <c r="L196" s="290"/>
      <c r="M196" s="290"/>
      <c r="N196" s="290"/>
      <c r="O196" s="290"/>
      <c r="P196" s="153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</row>
    <row r="197" spans="8:33" x14ac:dyDescent="0.25">
      <c r="H197" s="290"/>
      <c r="I197" s="290"/>
      <c r="J197" s="290"/>
      <c r="K197" s="290"/>
      <c r="L197" s="290"/>
      <c r="M197" s="290"/>
      <c r="N197" s="290"/>
      <c r="O197" s="290"/>
      <c r="P197" s="153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</row>
    <row r="198" spans="8:33" x14ac:dyDescent="0.25">
      <c r="H198" s="290"/>
      <c r="I198" s="290"/>
      <c r="J198" s="290"/>
      <c r="K198" s="290"/>
      <c r="L198" s="290"/>
      <c r="M198" s="290"/>
      <c r="N198" s="290"/>
      <c r="O198" s="290"/>
      <c r="P198" s="153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</row>
    <row r="199" spans="8:33" x14ac:dyDescent="0.25">
      <c r="H199" s="290"/>
      <c r="I199" s="290"/>
      <c r="J199" s="290"/>
      <c r="K199" s="290"/>
      <c r="L199" s="290"/>
      <c r="M199" s="290"/>
      <c r="N199" s="290"/>
      <c r="O199" s="290"/>
      <c r="P199" s="153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</row>
    <row r="200" spans="8:33" x14ac:dyDescent="0.25">
      <c r="H200" s="290"/>
      <c r="I200" s="290"/>
      <c r="J200" s="290"/>
      <c r="K200" s="290"/>
      <c r="L200" s="290"/>
      <c r="M200" s="290"/>
      <c r="N200" s="290"/>
      <c r="O200" s="290"/>
      <c r="P200" s="153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</row>
    <row r="201" spans="8:33" x14ac:dyDescent="0.25">
      <c r="H201" s="290"/>
      <c r="I201" s="290"/>
      <c r="J201" s="290"/>
      <c r="K201" s="290"/>
      <c r="L201" s="290"/>
      <c r="M201" s="290"/>
      <c r="N201" s="290"/>
      <c r="O201" s="290"/>
      <c r="P201" s="153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</row>
    <row r="202" spans="8:33" x14ac:dyDescent="0.25">
      <c r="H202" s="290"/>
      <c r="I202" s="290"/>
      <c r="J202" s="290"/>
      <c r="K202" s="290"/>
      <c r="L202" s="290"/>
      <c r="M202" s="290"/>
      <c r="N202" s="290"/>
      <c r="O202" s="290"/>
      <c r="P202" s="153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</row>
    <row r="203" spans="8:33" x14ac:dyDescent="0.25">
      <c r="H203" s="290"/>
      <c r="I203" s="290"/>
      <c r="J203" s="290"/>
      <c r="K203" s="290"/>
      <c r="L203" s="290"/>
      <c r="M203" s="290"/>
      <c r="N203" s="290"/>
      <c r="O203" s="290"/>
      <c r="P203" s="153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</row>
    <row r="204" spans="8:33" x14ac:dyDescent="0.25">
      <c r="H204" s="290"/>
      <c r="I204" s="290"/>
      <c r="J204" s="290"/>
      <c r="K204" s="290"/>
      <c r="L204" s="290"/>
      <c r="M204" s="290"/>
      <c r="N204" s="290"/>
      <c r="O204" s="290"/>
      <c r="P204" s="153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</row>
    <row r="205" spans="8:33" x14ac:dyDescent="0.25">
      <c r="H205" s="290"/>
      <c r="I205" s="290"/>
      <c r="J205" s="290"/>
      <c r="K205" s="290"/>
      <c r="L205" s="290"/>
      <c r="M205" s="290"/>
      <c r="N205" s="290"/>
      <c r="O205" s="290"/>
      <c r="P205" s="153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</row>
    <row r="206" spans="8:33" x14ac:dyDescent="0.25">
      <c r="H206" s="290"/>
      <c r="I206" s="290"/>
      <c r="J206" s="290"/>
      <c r="K206" s="290"/>
      <c r="L206" s="290"/>
      <c r="M206" s="290"/>
      <c r="N206" s="290"/>
      <c r="O206" s="290"/>
      <c r="P206" s="153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</row>
    <row r="207" spans="8:33" x14ac:dyDescent="0.25">
      <c r="H207" s="290"/>
      <c r="I207" s="290"/>
      <c r="J207" s="290"/>
      <c r="K207" s="290"/>
      <c r="L207" s="290"/>
      <c r="M207" s="290"/>
      <c r="N207" s="290"/>
      <c r="O207" s="290"/>
      <c r="P207" s="153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</row>
    <row r="208" spans="8:33" x14ac:dyDescent="0.25">
      <c r="H208" s="290"/>
      <c r="I208" s="290"/>
      <c r="J208" s="290"/>
      <c r="K208" s="290"/>
      <c r="L208" s="290"/>
      <c r="M208" s="290"/>
      <c r="N208" s="290"/>
      <c r="O208" s="290"/>
      <c r="P208" s="153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</row>
    <row r="209" spans="8:33" x14ac:dyDescent="0.25">
      <c r="H209" s="290"/>
      <c r="I209" s="290"/>
      <c r="J209" s="290"/>
      <c r="K209" s="290"/>
      <c r="L209" s="290"/>
      <c r="M209" s="290"/>
      <c r="N209" s="290"/>
      <c r="O209" s="290"/>
      <c r="P209" s="153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</row>
    <row r="210" spans="8:33" x14ac:dyDescent="0.25">
      <c r="H210" s="290"/>
      <c r="I210" s="290"/>
      <c r="J210" s="290"/>
      <c r="K210" s="290"/>
      <c r="L210" s="290"/>
      <c r="M210" s="290"/>
      <c r="N210" s="290"/>
      <c r="O210" s="290"/>
      <c r="P210" s="153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</row>
    <row r="211" spans="8:33" x14ac:dyDescent="0.25">
      <c r="H211" s="290"/>
      <c r="I211" s="290"/>
      <c r="J211" s="290"/>
      <c r="K211" s="290"/>
      <c r="L211" s="290"/>
      <c r="M211" s="290"/>
      <c r="N211" s="290"/>
      <c r="O211" s="290"/>
      <c r="P211" s="153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</row>
    <row r="212" spans="8:33" x14ac:dyDescent="0.25">
      <c r="H212" s="290"/>
      <c r="I212" s="290"/>
      <c r="J212" s="290"/>
      <c r="K212" s="290"/>
      <c r="L212" s="290"/>
      <c r="M212" s="290"/>
      <c r="N212" s="290"/>
      <c r="O212" s="290"/>
      <c r="P212" s="153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</row>
    <row r="213" spans="8:33" x14ac:dyDescent="0.25">
      <c r="H213" s="290"/>
      <c r="I213" s="290"/>
      <c r="J213" s="290"/>
      <c r="K213" s="290"/>
      <c r="L213" s="290"/>
      <c r="M213" s="290"/>
      <c r="N213" s="290"/>
      <c r="O213" s="290"/>
      <c r="P213" s="153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</row>
    <row r="214" spans="8:33" x14ac:dyDescent="0.25">
      <c r="H214" s="290"/>
      <c r="I214" s="290"/>
      <c r="J214" s="290"/>
      <c r="K214" s="290"/>
      <c r="L214" s="290"/>
      <c r="M214" s="290"/>
      <c r="N214" s="290"/>
      <c r="O214" s="290"/>
      <c r="P214" s="153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</row>
    <row r="215" spans="8:33" x14ac:dyDescent="0.25">
      <c r="H215" s="290"/>
      <c r="I215" s="290"/>
      <c r="J215" s="290"/>
      <c r="K215" s="290"/>
      <c r="L215" s="290"/>
      <c r="M215" s="290"/>
      <c r="N215" s="290"/>
      <c r="O215" s="290"/>
      <c r="P215" s="153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</row>
    <row r="216" spans="8:33" x14ac:dyDescent="0.25">
      <c r="H216" s="290"/>
      <c r="I216" s="290"/>
      <c r="J216" s="290"/>
      <c r="K216" s="290"/>
      <c r="L216" s="290"/>
      <c r="M216" s="290"/>
      <c r="N216" s="290"/>
      <c r="O216" s="290"/>
      <c r="P216" s="153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</row>
    <row r="217" spans="8:33" x14ac:dyDescent="0.25">
      <c r="H217" s="290"/>
      <c r="I217" s="290"/>
      <c r="J217" s="290"/>
      <c r="K217" s="290"/>
      <c r="L217" s="290"/>
      <c r="M217" s="290"/>
      <c r="N217" s="290"/>
      <c r="O217" s="290"/>
      <c r="P217" s="153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</row>
    <row r="218" spans="8:33" x14ac:dyDescent="0.25">
      <c r="H218" s="290"/>
      <c r="I218" s="290"/>
      <c r="J218" s="290"/>
      <c r="K218" s="290"/>
      <c r="L218" s="290"/>
      <c r="M218" s="290"/>
      <c r="N218" s="290"/>
      <c r="O218" s="290"/>
      <c r="P218" s="153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</row>
    <row r="219" spans="8:33" x14ac:dyDescent="0.25">
      <c r="H219" s="290"/>
      <c r="I219" s="290"/>
      <c r="J219" s="290"/>
      <c r="K219" s="290"/>
      <c r="L219" s="290"/>
      <c r="M219" s="290"/>
      <c r="N219" s="290"/>
      <c r="O219" s="290"/>
      <c r="P219" s="153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</row>
    <row r="220" spans="8:33" x14ac:dyDescent="0.25">
      <c r="H220" s="290"/>
      <c r="I220" s="290"/>
      <c r="J220" s="290"/>
      <c r="K220" s="290"/>
      <c r="L220" s="290"/>
      <c r="M220" s="290"/>
      <c r="N220" s="290"/>
      <c r="O220" s="290"/>
      <c r="P220" s="153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</row>
    <row r="221" spans="8:33" x14ac:dyDescent="0.25">
      <c r="H221" s="290"/>
      <c r="I221" s="290"/>
      <c r="J221" s="290"/>
      <c r="K221" s="290"/>
      <c r="L221" s="290"/>
      <c r="M221" s="290"/>
      <c r="N221" s="290"/>
      <c r="O221" s="290"/>
      <c r="P221" s="153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</row>
    <row r="222" spans="8:33" x14ac:dyDescent="0.25">
      <c r="H222" s="290"/>
      <c r="I222" s="290"/>
      <c r="J222" s="290"/>
      <c r="K222" s="290"/>
      <c r="L222" s="290"/>
      <c r="M222" s="290"/>
      <c r="N222" s="290"/>
      <c r="O222" s="290"/>
      <c r="P222" s="153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</row>
    <row r="223" spans="8:33" x14ac:dyDescent="0.25">
      <c r="H223" s="290"/>
      <c r="I223" s="290"/>
      <c r="J223" s="290"/>
      <c r="K223" s="290"/>
      <c r="L223" s="290"/>
      <c r="M223" s="290"/>
      <c r="N223" s="290"/>
      <c r="O223" s="290"/>
      <c r="P223" s="153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</row>
    <row r="224" spans="8:33" x14ac:dyDescent="0.25">
      <c r="H224" s="290"/>
      <c r="I224" s="290"/>
      <c r="J224" s="290"/>
      <c r="K224" s="290"/>
      <c r="L224" s="290"/>
      <c r="M224" s="290"/>
      <c r="N224" s="290"/>
      <c r="O224" s="290"/>
      <c r="P224" s="153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8" workbookViewId="0">
      <selection activeCell="C38" sqref="C38"/>
    </sheetView>
  </sheetViews>
  <sheetFormatPr defaultRowHeight="13.2" x14ac:dyDescent="0.25"/>
  <cols>
    <col min="1" max="1" width="8.664062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-130081</v>
      </c>
      <c r="C4" s="11">
        <v>-130000</v>
      </c>
      <c r="D4" s="25">
        <f>+C4-B4</f>
        <v>81</v>
      </c>
    </row>
    <row r="5" spans="1:4" x14ac:dyDescent="0.25">
      <c r="A5" s="10">
        <v>2</v>
      </c>
      <c r="B5" s="129">
        <v>-152636</v>
      </c>
      <c r="C5" s="11">
        <v>-151915</v>
      </c>
      <c r="D5" s="25">
        <f t="shared" ref="D5:D34" si="0">+C5-B5</f>
        <v>721</v>
      </c>
    </row>
    <row r="6" spans="1:4" x14ac:dyDescent="0.25">
      <c r="A6" s="10">
        <v>3</v>
      </c>
      <c r="B6" s="129">
        <v>-154973</v>
      </c>
      <c r="C6" s="11">
        <v>-155000</v>
      </c>
      <c r="D6" s="25">
        <f t="shared" si="0"/>
        <v>-27</v>
      </c>
    </row>
    <row r="7" spans="1:4" x14ac:dyDescent="0.25">
      <c r="A7" s="10">
        <v>4</v>
      </c>
      <c r="B7" s="129">
        <v>-155012</v>
      </c>
      <c r="C7" s="11">
        <v>-155000</v>
      </c>
      <c r="D7" s="25">
        <f t="shared" si="0"/>
        <v>12</v>
      </c>
    </row>
    <row r="8" spans="1:4" x14ac:dyDescent="0.25">
      <c r="A8" s="10">
        <v>5</v>
      </c>
      <c r="B8" s="129">
        <v>-181059</v>
      </c>
      <c r="C8" s="11">
        <v>-180297</v>
      </c>
      <c r="D8" s="25">
        <f t="shared" si="0"/>
        <v>762</v>
      </c>
    </row>
    <row r="9" spans="1:4" x14ac:dyDescent="0.25">
      <c r="A9" s="10">
        <v>6</v>
      </c>
      <c r="B9" s="129">
        <v>-209980</v>
      </c>
      <c r="C9" s="11">
        <v>-209580</v>
      </c>
      <c r="D9" s="25">
        <f t="shared" si="0"/>
        <v>400</v>
      </c>
    </row>
    <row r="10" spans="1:4" x14ac:dyDescent="0.25">
      <c r="A10" s="10">
        <v>7</v>
      </c>
      <c r="B10" s="129">
        <v>-266261</v>
      </c>
      <c r="C10" s="11">
        <v>-264100</v>
      </c>
      <c r="D10" s="25">
        <f t="shared" si="0"/>
        <v>2161</v>
      </c>
    </row>
    <row r="11" spans="1:4" x14ac:dyDescent="0.25">
      <c r="A11" s="10">
        <v>8</v>
      </c>
      <c r="B11" s="11">
        <v>-262138</v>
      </c>
      <c r="C11" s="11">
        <v>-261359</v>
      </c>
      <c r="D11" s="25">
        <f t="shared" si="0"/>
        <v>779</v>
      </c>
    </row>
    <row r="12" spans="1:4" x14ac:dyDescent="0.25">
      <c r="A12" s="10">
        <v>9</v>
      </c>
      <c r="B12" s="11">
        <v>-259520</v>
      </c>
      <c r="C12" s="11">
        <v>-258725</v>
      </c>
      <c r="D12" s="25">
        <f t="shared" si="0"/>
        <v>795</v>
      </c>
    </row>
    <row r="13" spans="1:4" x14ac:dyDescent="0.25">
      <c r="A13" s="10">
        <v>10</v>
      </c>
      <c r="B13" s="11">
        <v>-256304</v>
      </c>
      <c r="C13" s="11">
        <v>-264041</v>
      </c>
      <c r="D13" s="25">
        <f t="shared" si="0"/>
        <v>-7737</v>
      </c>
    </row>
    <row r="14" spans="1:4" x14ac:dyDescent="0.25">
      <c r="A14" s="10">
        <v>11</v>
      </c>
      <c r="B14" s="11">
        <v>-264711</v>
      </c>
      <c r="C14" s="11">
        <v>-263918</v>
      </c>
      <c r="D14" s="25">
        <f t="shared" si="0"/>
        <v>793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29"/>
      <c r="C21" s="11"/>
      <c r="D21" s="25">
        <f t="shared" si="0"/>
        <v>0</v>
      </c>
    </row>
    <row r="22" spans="1:4" x14ac:dyDescent="0.25">
      <c r="A22" s="10">
        <v>19</v>
      </c>
      <c r="B22" s="129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29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29"/>
      <c r="C26" s="11"/>
      <c r="D26" s="25">
        <f t="shared" si="0"/>
        <v>0</v>
      </c>
    </row>
    <row r="27" spans="1:4" x14ac:dyDescent="0.25">
      <c r="A27" s="10">
        <v>24</v>
      </c>
      <c r="B27" s="129"/>
      <c r="C27" s="11"/>
      <c r="D27" s="25">
        <f t="shared" si="0"/>
        <v>0</v>
      </c>
    </row>
    <row r="28" spans="1:4" x14ac:dyDescent="0.25">
      <c r="A28" s="10">
        <v>25</v>
      </c>
      <c r="B28" s="129"/>
      <c r="C28" s="11"/>
      <c r="D28" s="25">
        <f t="shared" si="0"/>
        <v>0</v>
      </c>
    </row>
    <row r="29" spans="1:4" x14ac:dyDescent="0.25">
      <c r="A29" s="10">
        <v>26</v>
      </c>
      <c r="B29" s="129"/>
      <c r="C29" s="11"/>
      <c r="D29" s="25">
        <f t="shared" si="0"/>
        <v>0</v>
      </c>
    </row>
    <row r="30" spans="1:4" x14ac:dyDescent="0.25">
      <c r="A30" s="10">
        <v>27</v>
      </c>
      <c r="B30" s="129"/>
      <c r="C30" s="11"/>
      <c r="D30" s="25">
        <f t="shared" si="0"/>
        <v>0</v>
      </c>
    </row>
    <row r="31" spans="1:4" x14ac:dyDescent="0.25">
      <c r="A31" s="10">
        <v>28</v>
      </c>
      <c r="B31" s="129"/>
      <c r="C31" s="11"/>
      <c r="D31" s="25">
        <f t="shared" si="0"/>
        <v>0</v>
      </c>
    </row>
    <row r="32" spans="1:4" x14ac:dyDescent="0.25">
      <c r="A32" s="10">
        <v>29</v>
      </c>
      <c r="B32" s="129"/>
      <c r="C32" s="11"/>
      <c r="D32" s="25">
        <f t="shared" si="0"/>
        <v>0</v>
      </c>
    </row>
    <row r="33" spans="1:30" x14ac:dyDescent="0.25">
      <c r="A33" s="10">
        <v>30</v>
      </c>
      <c r="B33" s="129"/>
      <c r="C33" s="11"/>
      <c r="D33" s="25">
        <f t="shared" si="0"/>
        <v>0</v>
      </c>
    </row>
    <row r="34" spans="1:30" x14ac:dyDescent="0.25">
      <c r="A34" s="10">
        <v>31</v>
      </c>
      <c r="B34" s="129"/>
      <c r="C34" s="11"/>
      <c r="D34" s="25">
        <f t="shared" si="0"/>
        <v>0</v>
      </c>
    </row>
    <row r="35" spans="1:30" x14ac:dyDescent="0.25">
      <c r="A35" s="10"/>
      <c r="B35" s="11">
        <f>SUM(B4:B34)</f>
        <v>-2292675</v>
      </c>
      <c r="C35" s="11">
        <f>SUM(C4:C34)</f>
        <v>-2293935</v>
      </c>
      <c r="D35" s="11">
        <f>SUM(D4:D34)</f>
        <v>-1260</v>
      </c>
    </row>
    <row r="36" spans="1:30" x14ac:dyDescent="0.25">
      <c r="A36" s="26"/>
      <c r="C36" s="25"/>
      <c r="D36" s="2"/>
    </row>
    <row r="37" spans="1:30" x14ac:dyDescent="0.25">
      <c r="A37" s="12"/>
      <c r="D37" s="51"/>
    </row>
    <row r="38" spans="1:30" x14ac:dyDescent="0.25">
      <c r="A38" s="245">
        <v>37315</v>
      </c>
      <c r="D38" s="624">
        <v>5393</v>
      </c>
    </row>
    <row r="39" spans="1:30" x14ac:dyDescent="0.25">
      <c r="A39" s="12"/>
      <c r="D39" s="51"/>
    </row>
    <row r="40" spans="1:30" x14ac:dyDescent="0.25">
      <c r="A40" s="245">
        <v>37326</v>
      </c>
      <c r="D40" s="51">
        <f>+D38+D35</f>
        <v>4133</v>
      </c>
    </row>
    <row r="41" spans="1:30" x14ac:dyDescent="0.25">
      <c r="D41" s="246"/>
    </row>
    <row r="42" spans="1:30" x14ac:dyDescent="0.25">
      <c r="D42" s="246"/>
    </row>
    <row r="43" spans="1:30" ht="15.6" x14ac:dyDescent="0.3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A44" s="32" t="s">
        <v>149</v>
      </c>
      <c r="B44" s="32"/>
      <c r="C44" s="32"/>
      <c r="D44" s="470"/>
      <c r="K44"/>
    </row>
    <row r="45" spans="1:30" x14ac:dyDescent="0.25">
      <c r="A45" s="49">
        <f>+A38</f>
        <v>37315</v>
      </c>
      <c r="B45" s="32"/>
      <c r="C45" s="32"/>
      <c r="D45" s="566">
        <v>-192893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A46" s="49">
        <f>+A40</f>
        <v>37326</v>
      </c>
      <c r="B46" s="32"/>
      <c r="C46" s="32"/>
      <c r="D46" s="373">
        <f>+D35*'by type_area'!G4</f>
        <v>-3124.8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A47" s="32"/>
      <c r="B47" s="32"/>
      <c r="C47" s="32"/>
      <c r="D47" s="200">
        <f>+D46+D45</f>
        <v>-196017.8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4" workbookViewId="0">
      <selection activeCell="G37" sqref="G37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5">
      <c r="A4" s="10">
        <v>1</v>
      </c>
      <c r="B4" s="11">
        <v>-582808</v>
      </c>
      <c r="C4" s="11">
        <v>-589587</v>
      </c>
      <c r="D4" s="11"/>
      <c r="E4" s="11"/>
      <c r="F4" s="25">
        <f>+E4+C4-D4-B4</f>
        <v>-6779</v>
      </c>
      <c r="H4" s="10"/>
      <c r="I4" s="11"/>
    </row>
    <row r="5" spans="1:11" x14ac:dyDescent="0.25">
      <c r="A5" s="10">
        <v>2</v>
      </c>
      <c r="B5" s="11">
        <v>-491131</v>
      </c>
      <c r="C5" s="11">
        <v>-493683</v>
      </c>
      <c r="D5" s="11"/>
      <c r="E5" s="11"/>
      <c r="F5" s="25">
        <f t="shared" ref="F5:F34" si="0">+C5-B5+E5-D5</f>
        <v>-2552</v>
      </c>
      <c r="H5" s="10"/>
      <c r="I5" s="11"/>
    </row>
    <row r="6" spans="1:11" x14ac:dyDescent="0.25">
      <c r="A6" s="10">
        <v>3</v>
      </c>
      <c r="B6" s="11">
        <v>-483505</v>
      </c>
      <c r="C6" s="11">
        <v>-493167</v>
      </c>
      <c r="D6" s="11"/>
      <c r="E6" s="11"/>
      <c r="F6" s="25">
        <f t="shared" si="0"/>
        <v>-9662</v>
      </c>
      <c r="H6" s="10"/>
      <c r="I6" s="11"/>
    </row>
    <row r="7" spans="1:11" x14ac:dyDescent="0.25">
      <c r="A7" s="10">
        <v>4</v>
      </c>
      <c r="B7" s="11">
        <v>-445803</v>
      </c>
      <c r="C7" s="11">
        <v>-487144</v>
      </c>
      <c r="D7" s="11"/>
      <c r="E7" s="11"/>
      <c r="F7" s="25">
        <f t="shared" si="0"/>
        <v>-41341</v>
      </c>
      <c r="H7" s="10"/>
      <c r="I7" s="11"/>
      <c r="K7" s="25"/>
    </row>
    <row r="8" spans="1:11" x14ac:dyDescent="0.25">
      <c r="A8" s="10">
        <v>5</v>
      </c>
      <c r="B8" s="129">
        <v>-518969</v>
      </c>
      <c r="C8" s="11">
        <v>-516271</v>
      </c>
      <c r="D8" s="11"/>
      <c r="E8" s="11"/>
      <c r="F8" s="25">
        <f t="shared" si="0"/>
        <v>2698</v>
      </c>
      <c r="H8" s="10"/>
      <c r="I8" s="11"/>
    </row>
    <row r="9" spans="1:11" x14ac:dyDescent="0.25">
      <c r="A9" s="10">
        <v>6</v>
      </c>
      <c r="B9" s="11">
        <v>-574375</v>
      </c>
      <c r="C9" s="11">
        <v>-598988</v>
      </c>
      <c r="D9" s="11"/>
      <c r="E9" s="11"/>
      <c r="F9" s="25">
        <f t="shared" si="0"/>
        <v>-24613</v>
      </c>
      <c r="H9" s="10"/>
      <c r="I9" s="11"/>
    </row>
    <row r="10" spans="1:11" x14ac:dyDescent="0.25">
      <c r="A10" s="10">
        <v>7</v>
      </c>
      <c r="B10" s="129">
        <v>-558264</v>
      </c>
      <c r="C10" s="11">
        <v>-565744</v>
      </c>
      <c r="D10" s="129"/>
      <c r="E10" s="11"/>
      <c r="F10" s="25">
        <f t="shared" si="0"/>
        <v>-7480</v>
      </c>
      <c r="H10" s="10"/>
      <c r="I10" s="11"/>
    </row>
    <row r="11" spans="1:11" x14ac:dyDescent="0.25">
      <c r="A11" s="10">
        <v>8</v>
      </c>
      <c r="B11" s="11">
        <v>-579105</v>
      </c>
      <c r="C11" s="11">
        <v>-609898</v>
      </c>
      <c r="D11" s="11"/>
      <c r="E11" s="11"/>
      <c r="F11" s="25">
        <f t="shared" si="0"/>
        <v>-30793</v>
      </c>
      <c r="H11" s="10"/>
      <c r="I11" s="11"/>
    </row>
    <row r="12" spans="1:11" x14ac:dyDescent="0.25">
      <c r="A12" s="10">
        <v>9</v>
      </c>
      <c r="B12" s="11">
        <v>-573367</v>
      </c>
      <c r="C12" s="11">
        <v>-599107</v>
      </c>
      <c r="D12" s="11"/>
      <c r="E12" s="11"/>
      <c r="F12" s="25">
        <f t="shared" si="0"/>
        <v>-25740</v>
      </c>
      <c r="H12" s="10"/>
      <c r="I12" s="11"/>
    </row>
    <row r="13" spans="1:11" x14ac:dyDescent="0.25">
      <c r="A13" s="10">
        <v>10</v>
      </c>
      <c r="B13" s="11">
        <v>-609561</v>
      </c>
      <c r="C13" s="11">
        <v>-607106</v>
      </c>
      <c r="D13" s="129"/>
      <c r="E13" s="11"/>
      <c r="F13" s="25">
        <f t="shared" si="0"/>
        <v>2455</v>
      </c>
      <c r="H13" s="10"/>
      <c r="I13" s="11"/>
    </row>
    <row r="14" spans="1:11" x14ac:dyDescent="0.25">
      <c r="A14" s="10">
        <v>11</v>
      </c>
      <c r="B14" s="11">
        <v>-611554</v>
      </c>
      <c r="C14" s="11">
        <v>-604165</v>
      </c>
      <c r="D14" s="11"/>
      <c r="E14" s="11"/>
      <c r="F14" s="25">
        <f t="shared" si="0"/>
        <v>7389</v>
      </c>
      <c r="H14" s="10"/>
      <c r="I14" s="11"/>
    </row>
    <row r="15" spans="1:11" x14ac:dyDescent="0.25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5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5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5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5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5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5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5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5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5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5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5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5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5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5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5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-6028442</v>
      </c>
      <c r="C35" s="11">
        <f>SUM(C4:C34)</f>
        <v>-6164860</v>
      </c>
      <c r="D35" s="11">
        <f>SUM(D4:D34)</f>
        <v>0</v>
      </c>
      <c r="E35" s="11">
        <f>SUM(E4:E34)</f>
        <v>0</v>
      </c>
      <c r="F35" s="11">
        <f>SUM(F4:F34)</f>
        <v>-136418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37315</v>
      </c>
      <c r="D38" s="246"/>
      <c r="E38" s="246"/>
      <c r="F38" s="597">
        <v>78487</v>
      </c>
      <c r="G38" s="246"/>
    </row>
    <row r="39" spans="1:45" x14ac:dyDescent="0.25">
      <c r="A39" s="2"/>
      <c r="D39" s="246"/>
      <c r="E39" s="246"/>
      <c r="F39" s="51"/>
      <c r="G39" s="246"/>
    </row>
    <row r="40" spans="1:45" x14ac:dyDescent="0.25">
      <c r="A40" s="57">
        <v>37326</v>
      </c>
      <c r="D40" s="246"/>
      <c r="E40" s="246"/>
      <c r="F40" s="51">
        <f>+F38+F35</f>
        <v>-57931</v>
      </c>
      <c r="G40" s="246"/>
    </row>
    <row r="41" spans="1:45" x14ac:dyDescent="0.25">
      <c r="D41" s="246"/>
      <c r="E41" s="246"/>
      <c r="F41" s="246"/>
      <c r="G41" s="246"/>
    </row>
    <row r="42" spans="1:45" x14ac:dyDescent="0.25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6" x14ac:dyDescent="0.3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5">
      <c r="A44" s="32" t="s">
        <v>149</v>
      </c>
      <c r="B44" s="32"/>
      <c r="C44" s="32"/>
      <c r="D44" s="470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5">
      <c r="A45" s="49">
        <f>+A38</f>
        <v>37315</v>
      </c>
      <c r="B45" s="32"/>
      <c r="C45" s="32"/>
      <c r="D45" s="566">
        <v>277487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5">
      <c r="A46" s="49">
        <f>+A40</f>
        <v>37326</v>
      </c>
      <c r="B46" s="32"/>
      <c r="C46" s="32"/>
      <c r="D46" s="471">
        <f>+F35*'by type_area'!G4</f>
        <v>-338316.64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5">
      <c r="A47" s="32"/>
      <c r="B47" s="32"/>
      <c r="C47" s="32"/>
      <c r="D47" s="469">
        <f>+D46+D45</f>
        <v>-60829.640000000014</v>
      </c>
      <c r="E47" s="246"/>
      <c r="F47" s="472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5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5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5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5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5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5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5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5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5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5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5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5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5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5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5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5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5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5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5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5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5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5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5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5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27" workbookViewId="0">
      <selection activeCell="E53" sqref="E53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135" bestFit="1" customWidth="1"/>
    <col min="12" max="13" width="10.88671875" style="32" bestFit="1" customWidth="1"/>
    <col min="14" max="14" width="12" style="32" bestFit="1" customWidth="1"/>
    <col min="15" max="15" width="9.5546875" style="32" bestFit="1" customWidth="1"/>
    <col min="16" max="16" width="7.6640625" style="14" bestFit="1" customWidth="1"/>
    <col min="17" max="17" width="5.44140625" style="15" bestFit="1" customWidth="1"/>
    <col min="18" max="18" width="10.6640625" style="15" bestFit="1" customWidth="1"/>
    <col min="19" max="19" width="9.33203125" style="32" bestFit="1" customWidth="1"/>
    <col min="20" max="20" width="10.6640625" style="32" bestFit="1" customWidth="1"/>
    <col min="21" max="16384" width="9.10937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08" t="s">
        <v>49</v>
      </c>
    </row>
    <row r="3" spans="1:19" ht="12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09" t="s">
        <v>49</v>
      </c>
      <c r="Q3" s="510" t="s">
        <v>15</v>
      </c>
      <c r="R3" s="511" t="s">
        <v>27</v>
      </c>
    </row>
    <row r="4" spans="1:19" ht="18" customHeight="1" x14ac:dyDescent="0.2">
      <c r="A4" s="41">
        <v>1</v>
      </c>
      <c r="B4" s="11">
        <v>-57642</v>
      </c>
      <c r="C4" s="11">
        <v>-27902</v>
      </c>
      <c r="D4" s="11">
        <v>-1041</v>
      </c>
      <c r="E4" s="11">
        <v>-29999</v>
      </c>
      <c r="F4" s="11"/>
      <c r="G4" s="11"/>
      <c r="H4" s="11">
        <f>+G4+E4+C4-F4-D4-B4</f>
        <v>782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-123929</v>
      </c>
      <c r="C5" s="11">
        <v>-22209</v>
      </c>
      <c r="D5" s="129">
        <v>-22574</v>
      </c>
      <c r="E5" s="11">
        <v>-122705</v>
      </c>
      <c r="F5" s="11"/>
      <c r="G5" s="11"/>
      <c r="H5" s="11">
        <f t="shared" ref="H5:H34" si="0">+G5+E5+C5-F5-D5-B5</f>
        <v>1589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5.63</v>
      </c>
      <c r="R5" s="15">
        <f t="shared" ref="R5:R16" si="2">+Q5*P5</f>
        <v>74659.429999999993</v>
      </c>
    </row>
    <row r="6" spans="1:19" ht="18" customHeight="1" x14ac:dyDescent="0.2">
      <c r="A6" s="41">
        <v>3</v>
      </c>
      <c r="B6" s="11">
        <v>-123002</v>
      </c>
      <c r="C6" s="11">
        <v>-22209</v>
      </c>
      <c r="D6" s="11">
        <v>-23111</v>
      </c>
      <c r="E6" s="11">
        <v>-122705</v>
      </c>
      <c r="F6" s="11"/>
      <c r="G6" s="11"/>
      <c r="H6" s="11">
        <f t="shared" si="0"/>
        <v>1199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>
        <v>-130357</v>
      </c>
      <c r="C7" s="11">
        <v>-27245</v>
      </c>
      <c r="D7" s="129"/>
      <c r="E7" s="11">
        <v>-102967</v>
      </c>
      <c r="F7" s="11"/>
      <c r="G7" s="11"/>
      <c r="H7" s="11">
        <f t="shared" si="0"/>
        <v>145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>
        <v>-69336</v>
      </c>
      <c r="C8" s="11">
        <v>-14843</v>
      </c>
      <c r="D8" s="11"/>
      <c r="E8" s="11">
        <v>-53701</v>
      </c>
      <c r="F8" s="11"/>
      <c r="G8" s="11"/>
      <c r="H8" s="11">
        <f t="shared" si="0"/>
        <v>792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>
        <v>-78158</v>
      </c>
      <c r="C9" s="11">
        <v>-13450</v>
      </c>
      <c r="D9" s="11"/>
      <c r="E9" s="11">
        <v>-63506</v>
      </c>
      <c r="F9" s="11"/>
      <c r="G9" s="11"/>
      <c r="H9" s="11">
        <f t="shared" si="0"/>
        <v>1202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>
        <v>-30604</v>
      </c>
      <c r="C10" s="11">
        <v>-4646</v>
      </c>
      <c r="D10" s="11"/>
      <c r="E10" s="11">
        <v>-25100</v>
      </c>
      <c r="F10" s="11"/>
      <c r="G10" s="11"/>
      <c r="H10" s="11">
        <f t="shared" si="0"/>
        <v>858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>
        <v>-33273</v>
      </c>
      <c r="C11" s="11">
        <v>-24646</v>
      </c>
      <c r="D11" s="129"/>
      <c r="E11" s="11">
        <v>-8363</v>
      </c>
      <c r="F11" s="11"/>
      <c r="G11" s="11"/>
      <c r="H11" s="11">
        <f t="shared" si="0"/>
        <v>264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>
        <v>-41138</v>
      </c>
      <c r="C12" s="11">
        <v>-36201</v>
      </c>
      <c r="D12" s="11"/>
      <c r="E12" s="11">
        <v>-5000</v>
      </c>
      <c r="F12" s="11"/>
      <c r="G12" s="11"/>
      <c r="H12" s="11">
        <f t="shared" si="0"/>
        <v>-63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>
        <v>-41268</v>
      </c>
      <c r="C13" s="11">
        <v>-36201</v>
      </c>
      <c r="D13" s="11"/>
      <c r="E13" s="129">
        <v>-5000</v>
      </c>
      <c r="F13" s="11"/>
      <c r="G13" s="11"/>
      <c r="H13" s="11">
        <f t="shared" si="0"/>
        <v>67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/>
      <c r="C17" s="11"/>
      <c r="D17" s="11"/>
      <c r="E17" s="11"/>
      <c r="F17" s="11"/>
      <c r="G17" s="11"/>
      <c r="H17" s="11">
        <f>+G17+E17+C17-F17-D17-B17</f>
        <v>0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/>
      <c r="C18" s="11"/>
      <c r="D18" s="11"/>
      <c r="E18" s="11"/>
      <c r="F18" s="11"/>
      <c r="G18" s="11"/>
      <c r="H18" s="11">
        <f>+G18+E18+C18-F18-D18-B18</f>
        <v>0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5">
      <c r="A19" s="41">
        <v>16</v>
      </c>
      <c r="B19" s="129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541499.83000000007</v>
      </c>
    </row>
    <row r="20" spans="1:18" ht="13.2" x14ac:dyDescent="0.25">
      <c r="A20" s="41">
        <v>17</v>
      </c>
      <c r="B20" s="129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500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500"/>
      <c r="L22" s="11"/>
      <c r="M22" s="11"/>
      <c r="N22" s="11"/>
      <c r="O22" s="2"/>
      <c r="R22" s="15">
        <f>+R21+R19</f>
        <v>-49514.519999999902</v>
      </c>
    </row>
    <row r="23" spans="1:18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500"/>
      <c r="L23" s="11"/>
      <c r="M23" s="11"/>
      <c r="N23" s="11"/>
      <c r="O23" s="2"/>
    </row>
    <row r="24" spans="1:18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00"/>
      <c r="L24" s="11"/>
      <c r="M24" s="11"/>
      <c r="N24" s="11"/>
      <c r="O24" s="2"/>
    </row>
    <row r="25" spans="1:18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00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00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00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00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00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00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00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00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00"/>
      <c r="L34" s="11"/>
      <c r="M34" s="11"/>
      <c r="N34" s="11"/>
    </row>
    <row r="35" spans="1:14" x14ac:dyDescent="0.2">
      <c r="A35" s="41"/>
      <c r="B35" s="11">
        <f t="shared" ref="B35:H35" si="3">SUM(B4:B34)</f>
        <v>-728707</v>
      </c>
      <c r="C35" s="44">
        <f t="shared" si="3"/>
        <v>-229552</v>
      </c>
      <c r="D35" s="11">
        <f t="shared" si="3"/>
        <v>-46726</v>
      </c>
      <c r="E35" s="44">
        <f t="shared" si="3"/>
        <v>-539046</v>
      </c>
      <c r="F35" s="11">
        <f t="shared" si="3"/>
        <v>0</v>
      </c>
      <c r="G35" s="11">
        <f t="shared" si="3"/>
        <v>0</v>
      </c>
      <c r="H35" s="11">
        <f t="shared" si="3"/>
        <v>6835</v>
      </c>
      <c r="I35" s="11"/>
      <c r="J35" s="102"/>
      <c r="K35" s="500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2.48</v>
      </c>
      <c r="I36" s="11"/>
      <c r="J36" s="102"/>
      <c r="K36" s="500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16950.8</v>
      </c>
      <c r="I37" s="11"/>
      <c r="J37" s="102"/>
      <c r="K37" s="500"/>
      <c r="L37" s="11"/>
      <c r="M37" s="11"/>
      <c r="N37" s="11"/>
    </row>
    <row r="38" spans="1:14" x14ac:dyDescent="0.2">
      <c r="C38" s="24"/>
      <c r="D38" s="47"/>
      <c r="E38" s="473">
        <v>37315</v>
      </c>
      <c r="F38" s="470"/>
      <c r="G38" s="265"/>
      <c r="H38" s="488">
        <v>35630</v>
      </c>
      <c r="I38" s="262"/>
      <c r="J38" s="102"/>
      <c r="K38" s="501"/>
      <c r="L38" s="14"/>
      <c r="M38" s="14"/>
      <c r="N38" s="16"/>
    </row>
    <row r="39" spans="1:14" x14ac:dyDescent="0.2">
      <c r="C39" s="14"/>
      <c r="D39" s="47"/>
      <c r="E39" s="263">
        <v>37325</v>
      </c>
      <c r="F39" s="470"/>
      <c r="G39" s="470"/>
      <c r="H39" s="319">
        <f>+H38+H37</f>
        <v>52580.800000000003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4"/>
      <c r="F40" s="263"/>
      <c r="G40" s="474"/>
      <c r="H40" s="111"/>
      <c r="I40" s="51"/>
      <c r="J40" s="102"/>
      <c r="K40" s="502"/>
      <c r="L40" s="47"/>
      <c r="M40" s="48"/>
      <c r="N40" s="46"/>
    </row>
    <row r="41" spans="1:14" x14ac:dyDescent="0.2">
      <c r="C41" s="14"/>
      <c r="D41" s="50"/>
      <c r="E41" s="474"/>
      <c r="F41" s="263"/>
      <c r="G41" s="474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3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3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148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37315</v>
      </c>
      <c r="E46" s="481">
        <v>44686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37325</v>
      </c>
      <c r="E47" s="456">
        <f>+H35</f>
        <v>6835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51521</v>
      </c>
      <c r="F48" s="129"/>
      <c r="G48" s="129"/>
      <c r="H48" s="129"/>
      <c r="I48" s="262"/>
      <c r="J48" s="102"/>
      <c r="K48" s="504"/>
      <c r="L48" s="38"/>
      <c r="M48" s="4"/>
    </row>
    <row r="49" spans="1:15" ht="13.2" x14ac:dyDescent="0.25">
      <c r="A49" s="101"/>
      <c r="B49" s="139"/>
      <c r="C49" s="119"/>
      <c r="D49" s="140"/>
      <c r="E49" s="475"/>
      <c r="F49" s="129"/>
      <c r="G49" s="129"/>
      <c r="H49" s="129"/>
      <c r="I49" s="476"/>
      <c r="J49" s="102"/>
      <c r="K49" s="505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00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>
        <v>179468</v>
      </c>
      <c r="I51" s="11"/>
      <c r="J51" s="102"/>
      <c r="K51" s="500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>
        <v>82546</v>
      </c>
      <c r="I52" s="11"/>
      <c r="J52" s="102"/>
      <c r="K52" s="500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>
        <f>+H52+H51</f>
        <v>262014</v>
      </c>
      <c r="I53" s="11"/>
      <c r="J53" s="102"/>
      <c r="K53" s="500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00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00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00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00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00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00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00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00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00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00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00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00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00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00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00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00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00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00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00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00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00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00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00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00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00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00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00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00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02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3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3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0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05"/>
      <c r="L91" s="6"/>
      <c r="M91" s="6"/>
    </row>
    <row r="92" spans="1:14" x14ac:dyDescent="0.2">
      <c r="I92" s="11"/>
      <c r="J92" s="11"/>
      <c r="K92" s="500"/>
      <c r="L92" s="11"/>
      <c r="M92" s="11"/>
      <c r="N92" s="11"/>
    </row>
    <row r="93" spans="1:14" x14ac:dyDescent="0.2">
      <c r="G93" s="41"/>
      <c r="H93" s="11"/>
      <c r="I93" s="11"/>
      <c r="J93" s="11"/>
      <c r="K93" s="500"/>
      <c r="L93" s="11"/>
      <c r="M93" s="11"/>
      <c r="N93" s="11"/>
    </row>
    <row r="94" spans="1:14" x14ac:dyDescent="0.2">
      <c r="G94" s="41"/>
      <c r="H94" s="11"/>
      <c r="I94" s="11"/>
      <c r="J94" s="11"/>
      <c r="K94" s="500"/>
      <c r="L94" s="11"/>
      <c r="M94" s="11"/>
      <c r="N94" s="11"/>
    </row>
    <row r="95" spans="1:14" x14ac:dyDescent="0.2">
      <c r="G95" s="41"/>
      <c r="H95" s="11"/>
      <c r="I95" s="11"/>
      <c r="J95" s="11"/>
      <c r="K95" s="500"/>
      <c r="L95" s="11"/>
      <c r="M95" s="11"/>
      <c r="N95" s="11"/>
    </row>
    <row r="96" spans="1:14" x14ac:dyDescent="0.2">
      <c r="G96" s="41"/>
      <c r="H96" s="11"/>
      <c r="I96" s="11"/>
      <c r="J96" s="11"/>
      <c r="K96" s="500"/>
      <c r="L96" s="11"/>
      <c r="M96" s="11"/>
      <c r="N96" s="11"/>
    </row>
    <row r="97" spans="7:14" x14ac:dyDescent="0.2">
      <c r="G97" s="41"/>
      <c r="H97" s="11"/>
      <c r="I97" s="11"/>
      <c r="J97" s="11"/>
      <c r="K97" s="500"/>
      <c r="L97" s="11"/>
      <c r="M97" s="11"/>
      <c r="N97" s="11"/>
    </row>
    <row r="98" spans="7:14" x14ac:dyDescent="0.2">
      <c r="G98" s="41"/>
      <c r="H98" s="11"/>
      <c r="I98" s="11"/>
      <c r="J98" s="11"/>
      <c r="K98" s="500"/>
      <c r="L98" s="11"/>
      <c r="M98" s="11"/>
      <c r="N98" s="11"/>
    </row>
    <row r="99" spans="7:14" x14ac:dyDescent="0.2">
      <c r="G99" s="41"/>
      <c r="H99" s="11"/>
      <c r="I99" s="11"/>
      <c r="J99" s="11"/>
      <c r="K99" s="500"/>
      <c r="L99" s="11"/>
      <c r="M99" s="11"/>
      <c r="N99" s="11"/>
    </row>
    <row r="100" spans="7:14" x14ac:dyDescent="0.2">
      <c r="G100" s="41"/>
      <c r="H100" s="11"/>
      <c r="I100" s="11"/>
      <c r="J100" s="11"/>
      <c r="K100" s="500"/>
      <c r="L100" s="11"/>
      <c r="M100" s="11"/>
      <c r="N100" s="11"/>
    </row>
    <row r="101" spans="7:14" x14ac:dyDescent="0.2">
      <c r="G101" s="41"/>
      <c r="H101" s="11"/>
      <c r="I101" s="11"/>
      <c r="J101" s="11"/>
      <c r="K101" s="500"/>
      <c r="L101" s="11"/>
      <c r="M101" s="11"/>
      <c r="N101" s="11"/>
    </row>
    <row r="102" spans="7:14" x14ac:dyDescent="0.2">
      <c r="G102" s="41"/>
      <c r="H102" s="11"/>
      <c r="I102" s="11"/>
      <c r="J102" s="11"/>
      <c r="K102" s="500"/>
      <c r="L102" s="11"/>
      <c r="M102" s="11"/>
      <c r="N102" s="11"/>
    </row>
    <row r="103" spans="7:14" x14ac:dyDescent="0.2">
      <c r="G103" s="41"/>
      <c r="H103" s="11"/>
      <c r="I103" s="11"/>
      <c r="J103" s="11"/>
      <c r="K103" s="500"/>
      <c r="L103" s="11"/>
      <c r="M103" s="11"/>
      <c r="N103" s="11"/>
    </row>
    <row r="104" spans="7:14" x14ac:dyDescent="0.2">
      <c r="G104" s="41"/>
      <c r="H104" s="11"/>
      <c r="I104" s="11"/>
      <c r="J104" s="11"/>
      <c r="K104" s="500"/>
      <c r="L104" s="11"/>
      <c r="M104" s="11"/>
      <c r="N104" s="11"/>
    </row>
    <row r="105" spans="7:14" x14ac:dyDescent="0.2">
      <c r="G105" s="41"/>
      <c r="H105" s="11"/>
      <c r="I105" s="11"/>
      <c r="J105" s="11"/>
      <c r="K105" s="500"/>
      <c r="L105" s="11"/>
      <c r="M105" s="11"/>
      <c r="N105" s="11"/>
    </row>
    <row r="106" spans="7:14" x14ac:dyDescent="0.2">
      <c r="G106" s="41"/>
      <c r="H106" s="11"/>
      <c r="I106" s="11"/>
      <c r="J106" s="11"/>
      <c r="K106" s="500"/>
      <c r="L106" s="11"/>
      <c r="M106" s="11"/>
      <c r="N106" s="11"/>
    </row>
    <row r="107" spans="7:14" x14ac:dyDescent="0.2">
      <c r="G107" s="41"/>
      <c r="H107" s="11"/>
      <c r="I107" s="11"/>
      <c r="J107" s="11"/>
      <c r="K107" s="500"/>
      <c r="L107" s="11"/>
      <c r="M107" s="11"/>
      <c r="N107" s="11"/>
    </row>
    <row r="108" spans="7:14" x14ac:dyDescent="0.2">
      <c r="G108" s="41"/>
      <c r="H108" s="11"/>
      <c r="I108" s="11"/>
      <c r="J108" s="11"/>
      <c r="K108" s="500"/>
      <c r="L108" s="11"/>
      <c r="M108" s="11"/>
      <c r="N108" s="11"/>
    </row>
    <row r="109" spans="7:14" x14ac:dyDescent="0.2">
      <c r="G109" s="41"/>
      <c r="H109" s="11"/>
      <c r="I109" s="11"/>
      <c r="J109" s="11"/>
      <c r="K109" s="500"/>
      <c r="L109" s="11"/>
      <c r="M109" s="11"/>
      <c r="N109" s="11"/>
    </row>
    <row r="110" spans="7:14" x14ac:dyDescent="0.2">
      <c r="G110" s="41"/>
      <c r="H110" s="11"/>
      <c r="I110" s="11"/>
      <c r="J110" s="11"/>
      <c r="K110" s="500"/>
      <c r="L110" s="11"/>
      <c r="M110" s="11"/>
      <c r="N110" s="11"/>
    </row>
    <row r="111" spans="7:14" x14ac:dyDescent="0.2">
      <c r="G111" s="41"/>
      <c r="H111" s="11"/>
      <c r="I111" s="11"/>
      <c r="J111" s="11"/>
      <c r="K111" s="500"/>
      <c r="L111" s="11"/>
      <c r="M111" s="11"/>
      <c r="N111" s="11"/>
    </row>
    <row r="112" spans="7:14" x14ac:dyDescent="0.2">
      <c r="G112" s="41"/>
      <c r="H112" s="11"/>
      <c r="I112" s="11"/>
      <c r="J112" s="11"/>
      <c r="K112" s="500"/>
      <c r="L112" s="11"/>
      <c r="M112" s="11"/>
      <c r="N112" s="11"/>
    </row>
    <row r="113" spans="7:14" x14ac:dyDescent="0.2">
      <c r="G113" s="41"/>
      <c r="H113" s="11"/>
      <c r="I113" s="11"/>
      <c r="J113" s="11"/>
      <c r="K113" s="500"/>
      <c r="L113" s="11"/>
      <c r="M113" s="11"/>
      <c r="N113" s="11"/>
    </row>
    <row r="114" spans="7:14" x14ac:dyDescent="0.2">
      <c r="G114" s="41"/>
      <c r="H114" s="11"/>
      <c r="I114" s="11"/>
      <c r="J114" s="11"/>
      <c r="K114" s="500"/>
      <c r="L114" s="11"/>
      <c r="M114" s="11"/>
      <c r="N114" s="11"/>
    </row>
    <row r="115" spans="7:14" x14ac:dyDescent="0.2">
      <c r="G115" s="41"/>
      <c r="H115" s="11"/>
      <c r="I115" s="11"/>
      <c r="J115" s="11"/>
      <c r="K115" s="500"/>
      <c r="L115" s="11"/>
      <c r="M115" s="11"/>
      <c r="N115" s="11"/>
    </row>
    <row r="116" spans="7:14" x14ac:dyDescent="0.2">
      <c r="G116" s="41"/>
      <c r="H116" s="11"/>
      <c r="I116" s="11"/>
      <c r="J116" s="11"/>
      <c r="K116" s="500"/>
      <c r="L116" s="11"/>
      <c r="M116" s="11"/>
      <c r="N116" s="11"/>
    </row>
    <row r="117" spans="7:14" x14ac:dyDescent="0.2">
      <c r="G117" s="41"/>
      <c r="H117" s="11"/>
      <c r="I117" s="11"/>
      <c r="J117" s="11"/>
      <c r="K117" s="500"/>
      <c r="L117" s="11"/>
      <c r="M117" s="11"/>
      <c r="N117" s="11"/>
    </row>
    <row r="118" spans="7:14" x14ac:dyDescent="0.2">
      <c r="G118" s="41"/>
      <c r="H118" s="11"/>
      <c r="I118" s="11"/>
      <c r="J118" s="11"/>
      <c r="K118" s="500"/>
      <c r="L118" s="11"/>
      <c r="M118" s="11"/>
      <c r="N118" s="11"/>
    </row>
    <row r="119" spans="7:14" x14ac:dyDescent="0.2">
      <c r="G119" s="41"/>
      <c r="H119" s="11"/>
      <c r="I119" s="11"/>
      <c r="J119" s="11"/>
      <c r="K119" s="500"/>
      <c r="L119" s="11"/>
      <c r="M119" s="11"/>
      <c r="N119" s="11"/>
    </row>
    <row r="120" spans="7:14" x14ac:dyDescent="0.2">
      <c r="G120" s="41"/>
      <c r="H120" s="11"/>
      <c r="I120" s="11"/>
      <c r="J120" s="11"/>
      <c r="K120" s="500"/>
      <c r="L120" s="11"/>
      <c r="M120" s="11"/>
      <c r="N120" s="11"/>
    </row>
    <row r="121" spans="7:14" x14ac:dyDescent="0.2">
      <c r="G121" s="41"/>
      <c r="H121" s="11"/>
      <c r="I121" s="11"/>
      <c r="J121" s="11"/>
      <c r="K121" s="500"/>
      <c r="L121" s="11"/>
      <c r="M121" s="11"/>
      <c r="N121" s="11"/>
    </row>
    <row r="122" spans="7:14" x14ac:dyDescent="0.2">
      <c r="G122" s="41"/>
      <c r="H122" s="11"/>
      <c r="I122" s="11"/>
      <c r="J122" s="11"/>
      <c r="K122" s="500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02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03"/>
      <c r="L127" s="50"/>
      <c r="M127" s="50"/>
      <c r="N127" s="106"/>
    </row>
    <row r="128" spans="7:14" x14ac:dyDescent="0.2">
      <c r="G128" s="57"/>
      <c r="J128" s="50"/>
      <c r="K128" s="503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04"/>
      <c r="L133" s="38"/>
      <c r="M133" s="4"/>
    </row>
    <row r="134" spans="7:14" x14ac:dyDescent="0.2">
      <c r="G134" s="39"/>
      <c r="H134" s="6"/>
      <c r="I134" s="40"/>
      <c r="J134" s="6"/>
      <c r="K134" s="505"/>
      <c r="L134" s="6"/>
      <c r="M134" s="6"/>
    </row>
    <row r="135" spans="7:14" x14ac:dyDescent="0.2">
      <c r="G135" s="41"/>
      <c r="H135" s="11"/>
      <c r="I135" s="11"/>
      <c r="J135" s="11"/>
      <c r="K135" s="500"/>
      <c r="L135" s="11"/>
      <c r="M135" s="11"/>
      <c r="N135" s="11"/>
    </row>
    <row r="136" spans="7:14" x14ac:dyDescent="0.2">
      <c r="G136" s="41"/>
      <c r="H136" s="11"/>
      <c r="I136" s="11"/>
      <c r="J136" s="11"/>
      <c r="K136" s="500"/>
      <c r="L136" s="11"/>
      <c r="M136" s="11"/>
      <c r="N136" s="11"/>
    </row>
    <row r="137" spans="7:14" x14ac:dyDescent="0.2">
      <c r="G137" s="41"/>
      <c r="H137" s="11"/>
      <c r="I137" s="11"/>
      <c r="J137" s="11"/>
      <c r="K137" s="500"/>
      <c r="L137" s="11"/>
      <c r="M137" s="11"/>
      <c r="N137" s="11"/>
    </row>
    <row r="138" spans="7:14" x14ac:dyDescent="0.2">
      <c r="G138" s="41"/>
      <c r="H138" s="11"/>
      <c r="I138" s="11"/>
      <c r="J138" s="11"/>
      <c r="K138" s="500"/>
      <c r="L138" s="11"/>
      <c r="M138" s="11"/>
      <c r="N138" s="11"/>
    </row>
    <row r="139" spans="7:14" x14ac:dyDescent="0.2">
      <c r="G139" s="41"/>
      <c r="H139" s="11"/>
      <c r="I139" s="11"/>
      <c r="J139" s="11"/>
      <c r="K139" s="500"/>
      <c r="L139" s="11"/>
      <c r="M139" s="11"/>
      <c r="N139" s="11"/>
    </row>
    <row r="140" spans="7:14" x14ac:dyDescent="0.2">
      <c r="G140" s="41"/>
      <c r="H140" s="11"/>
      <c r="I140" s="11"/>
      <c r="J140" s="11"/>
      <c r="K140" s="500"/>
      <c r="L140" s="11"/>
      <c r="M140" s="11"/>
      <c r="N140" s="11"/>
    </row>
    <row r="141" spans="7:14" x14ac:dyDescent="0.2">
      <c r="G141" s="41"/>
      <c r="H141" s="11"/>
      <c r="I141" s="11"/>
      <c r="J141" s="11"/>
      <c r="K141" s="500"/>
      <c r="L141" s="11"/>
      <c r="M141" s="11"/>
      <c r="N141" s="11"/>
    </row>
    <row r="142" spans="7:14" x14ac:dyDescent="0.2">
      <c r="G142" s="41"/>
      <c r="H142" s="11"/>
      <c r="I142" s="11"/>
      <c r="J142" s="11"/>
      <c r="K142" s="500"/>
      <c r="L142" s="11"/>
      <c r="M142" s="11"/>
      <c r="N142" s="11"/>
    </row>
    <row r="143" spans="7:14" x14ac:dyDescent="0.2">
      <c r="G143" s="41"/>
      <c r="H143" s="11"/>
      <c r="I143" s="11"/>
      <c r="J143" s="11"/>
      <c r="K143" s="500"/>
      <c r="L143" s="11"/>
      <c r="M143" s="11"/>
      <c r="N143" s="11"/>
    </row>
    <row r="144" spans="7:14" x14ac:dyDescent="0.2">
      <c r="G144" s="41"/>
      <c r="H144" s="11"/>
      <c r="I144" s="11"/>
      <c r="J144" s="11"/>
      <c r="K144" s="500"/>
      <c r="L144" s="11"/>
      <c r="M144" s="11"/>
      <c r="N144" s="11"/>
    </row>
    <row r="145" spans="7:14" x14ac:dyDescent="0.2">
      <c r="G145" s="41"/>
      <c r="H145" s="11"/>
      <c r="I145" s="11"/>
      <c r="J145" s="11"/>
      <c r="K145" s="500"/>
      <c r="L145" s="11"/>
      <c r="M145" s="11"/>
      <c r="N145" s="11"/>
    </row>
    <row r="146" spans="7:14" x14ac:dyDescent="0.2">
      <c r="G146" s="41"/>
      <c r="H146" s="11"/>
      <c r="I146" s="11"/>
      <c r="J146" s="11"/>
      <c r="K146" s="500"/>
      <c r="L146" s="11"/>
      <c r="M146" s="11"/>
      <c r="N146" s="11"/>
    </row>
    <row r="147" spans="7:14" x14ac:dyDescent="0.2">
      <c r="G147" s="41"/>
      <c r="H147" s="11"/>
      <c r="I147" s="11"/>
      <c r="J147" s="11"/>
      <c r="K147" s="500"/>
      <c r="L147" s="11"/>
      <c r="M147" s="11"/>
      <c r="N147" s="11"/>
    </row>
    <row r="148" spans="7:14" x14ac:dyDescent="0.2">
      <c r="G148" s="41"/>
      <c r="H148" s="11"/>
      <c r="I148" s="11"/>
      <c r="J148" s="11"/>
      <c r="K148" s="500"/>
      <c r="L148" s="11"/>
      <c r="M148" s="11"/>
      <c r="N148" s="11"/>
    </row>
    <row r="149" spans="7:14" x14ac:dyDescent="0.2">
      <c r="G149" s="41"/>
      <c r="H149" s="11"/>
      <c r="I149" s="11"/>
      <c r="J149" s="11"/>
      <c r="K149" s="500"/>
      <c r="L149" s="11"/>
      <c r="M149" s="11"/>
      <c r="N149" s="11"/>
    </row>
    <row r="150" spans="7:14" x14ac:dyDescent="0.2">
      <c r="G150" s="41"/>
      <c r="H150" s="11"/>
      <c r="I150" s="11"/>
      <c r="J150" s="11"/>
      <c r="K150" s="500"/>
      <c r="L150" s="11"/>
      <c r="M150" s="11"/>
      <c r="N150" s="11"/>
    </row>
    <row r="151" spans="7:14" x14ac:dyDescent="0.2">
      <c r="G151" s="41"/>
      <c r="H151" s="11"/>
      <c r="I151" s="11"/>
      <c r="J151" s="11"/>
      <c r="K151" s="500"/>
      <c r="L151" s="11"/>
      <c r="M151" s="11"/>
      <c r="N151" s="11"/>
    </row>
    <row r="152" spans="7:14" x14ac:dyDescent="0.2">
      <c r="G152" s="41"/>
      <c r="H152" s="11"/>
      <c r="I152" s="11"/>
      <c r="J152" s="11"/>
      <c r="K152" s="500"/>
      <c r="L152" s="11"/>
      <c r="M152" s="11"/>
      <c r="N152" s="11"/>
    </row>
    <row r="153" spans="7:14" x14ac:dyDescent="0.2">
      <c r="G153" s="41"/>
      <c r="H153" s="11"/>
      <c r="I153" s="11"/>
      <c r="J153" s="11"/>
      <c r="K153" s="500"/>
      <c r="L153" s="11"/>
      <c r="M153" s="11"/>
      <c r="N153" s="11"/>
    </row>
    <row r="154" spans="7:14" x14ac:dyDescent="0.2">
      <c r="G154" s="41"/>
      <c r="H154" s="11"/>
      <c r="I154" s="11"/>
      <c r="J154" s="11"/>
      <c r="K154" s="500"/>
      <c r="L154" s="11"/>
      <c r="M154" s="11"/>
      <c r="N154" s="11"/>
    </row>
    <row r="155" spans="7:14" x14ac:dyDescent="0.2">
      <c r="G155" s="41"/>
      <c r="H155" s="11"/>
      <c r="I155" s="11"/>
      <c r="J155" s="11"/>
      <c r="K155" s="500"/>
      <c r="L155" s="11"/>
      <c r="M155" s="11"/>
      <c r="N155" s="11"/>
    </row>
    <row r="156" spans="7:14" x14ac:dyDescent="0.2">
      <c r="G156" s="41"/>
      <c r="H156" s="11"/>
      <c r="I156" s="11"/>
      <c r="J156" s="11"/>
      <c r="K156" s="500"/>
      <c r="L156" s="11"/>
      <c r="M156" s="11"/>
      <c r="N156" s="11"/>
    </row>
    <row r="157" spans="7:14" x14ac:dyDescent="0.2">
      <c r="G157" s="41"/>
      <c r="H157" s="11"/>
      <c r="I157" s="11"/>
      <c r="J157" s="11"/>
      <c r="K157" s="500"/>
      <c r="L157" s="11"/>
      <c r="M157" s="11"/>
      <c r="N157" s="11"/>
    </row>
    <row r="158" spans="7:14" x14ac:dyDescent="0.2">
      <c r="G158" s="41"/>
      <c r="H158" s="11"/>
      <c r="I158" s="11"/>
      <c r="J158" s="11"/>
      <c r="K158" s="500"/>
      <c r="L158" s="11"/>
      <c r="M158" s="11"/>
      <c r="N158" s="11"/>
    </row>
    <row r="159" spans="7:14" x14ac:dyDescent="0.2">
      <c r="G159" s="41"/>
      <c r="H159" s="11"/>
      <c r="I159" s="11"/>
      <c r="J159" s="11"/>
      <c r="K159" s="500"/>
      <c r="L159" s="11"/>
      <c r="M159" s="11"/>
      <c r="N159" s="11"/>
    </row>
    <row r="160" spans="7:14" x14ac:dyDescent="0.2">
      <c r="G160" s="41"/>
      <c r="H160" s="11"/>
      <c r="I160" s="11"/>
      <c r="J160" s="11"/>
      <c r="K160" s="500"/>
      <c r="L160" s="11"/>
      <c r="M160" s="11"/>
      <c r="N160" s="11"/>
    </row>
    <row r="161" spans="7:14" x14ac:dyDescent="0.2">
      <c r="G161" s="41"/>
      <c r="H161" s="11"/>
      <c r="I161" s="11"/>
      <c r="J161" s="11"/>
      <c r="K161" s="500"/>
      <c r="L161" s="11"/>
      <c r="M161" s="11"/>
      <c r="N161" s="11"/>
    </row>
    <row r="162" spans="7:14" x14ac:dyDescent="0.2">
      <c r="G162" s="41"/>
      <c r="H162" s="11"/>
      <c r="I162" s="11"/>
      <c r="J162" s="11"/>
      <c r="K162" s="500"/>
      <c r="L162" s="11"/>
      <c r="M162" s="11"/>
      <c r="N162" s="11"/>
    </row>
    <row r="163" spans="7:14" x14ac:dyDescent="0.2">
      <c r="G163" s="41"/>
      <c r="H163" s="11"/>
      <c r="I163" s="11"/>
      <c r="J163" s="11"/>
      <c r="K163" s="500"/>
      <c r="L163" s="11"/>
      <c r="M163" s="11"/>
      <c r="N163" s="11"/>
    </row>
    <row r="164" spans="7:14" x14ac:dyDescent="0.2">
      <c r="G164" s="41"/>
      <c r="H164" s="11"/>
      <c r="I164" s="11"/>
      <c r="J164" s="11"/>
      <c r="K164" s="500"/>
      <c r="L164" s="11"/>
      <c r="M164" s="11"/>
      <c r="N164" s="11"/>
    </row>
    <row r="165" spans="7:14" x14ac:dyDescent="0.2">
      <c r="G165" s="41"/>
      <c r="H165" s="42"/>
      <c r="I165" s="42"/>
      <c r="J165" s="42"/>
      <c r="K165" s="506"/>
      <c r="L165" s="42"/>
      <c r="M165" s="42"/>
      <c r="N165" s="42"/>
    </row>
    <row r="166" spans="7:14" x14ac:dyDescent="0.2">
      <c r="G166" s="41"/>
      <c r="H166" s="11"/>
      <c r="I166" s="44"/>
      <c r="J166" s="11"/>
      <c r="K166" s="507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02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03"/>
      <c r="L171" s="57"/>
      <c r="M171" s="50"/>
      <c r="N171" s="106"/>
    </row>
    <row r="172" spans="7:14" x14ac:dyDescent="0.2">
      <c r="J172" s="50"/>
      <c r="K172" s="503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04"/>
      <c r="L177" s="38"/>
      <c r="M177" s="4"/>
    </row>
    <row r="178" spans="7:14" x14ac:dyDescent="0.2">
      <c r="G178" s="39"/>
      <c r="H178" s="6"/>
      <c r="I178" s="40"/>
      <c r="J178" s="6"/>
      <c r="K178" s="505"/>
      <c r="L178" s="6"/>
      <c r="M178" s="6"/>
    </row>
    <row r="179" spans="7:14" x14ac:dyDescent="0.2">
      <c r="G179" s="41"/>
      <c r="H179" s="11"/>
      <c r="I179" s="11"/>
      <c r="J179" s="11"/>
      <c r="K179" s="500"/>
      <c r="L179" s="11"/>
      <c r="M179" s="11"/>
      <c r="N179" s="11"/>
    </row>
    <row r="180" spans="7:14" x14ac:dyDescent="0.2">
      <c r="G180" s="41"/>
      <c r="H180" s="11"/>
      <c r="I180" s="11"/>
      <c r="J180" s="11"/>
      <c r="K180" s="500"/>
      <c r="L180" s="11"/>
      <c r="M180" s="11"/>
      <c r="N180" s="11"/>
    </row>
    <row r="181" spans="7:14" x14ac:dyDescent="0.2">
      <c r="G181" s="41"/>
      <c r="H181" s="11"/>
      <c r="I181" s="11"/>
      <c r="J181" s="11"/>
      <c r="K181" s="500"/>
      <c r="L181" s="11"/>
      <c r="M181" s="11"/>
      <c r="N181" s="11"/>
    </row>
    <row r="182" spans="7:14" x14ac:dyDescent="0.2">
      <c r="G182" s="41"/>
      <c r="H182" s="11"/>
      <c r="I182" s="11"/>
      <c r="J182" s="11"/>
      <c r="K182" s="500"/>
      <c r="L182" s="11"/>
      <c r="M182" s="11"/>
      <c r="N182" s="11"/>
    </row>
    <row r="183" spans="7:14" x14ac:dyDescent="0.2">
      <c r="G183" s="41"/>
      <c r="H183" s="11"/>
      <c r="I183" s="11"/>
      <c r="J183" s="11"/>
      <c r="K183" s="500"/>
      <c r="L183" s="11"/>
      <c r="M183" s="11"/>
      <c r="N183" s="11"/>
    </row>
    <row r="184" spans="7:14" x14ac:dyDescent="0.2">
      <c r="G184" s="41"/>
      <c r="H184" s="11"/>
      <c r="I184" s="11"/>
      <c r="J184" s="11"/>
      <c r="K184" s="500"/>
      <c r="L184" s="11"/>
      <c r="M184" s="11"/>
      <c r="N184" s="11"/>
    </row>
    <row r="185" spans="7:14" x14ac:dyDescent="0.2">
      <c r="G185" s="41"/>
      <c r="H185" s="11"/>
      <c r="I185" s="11"/>
      <c r="J185" s="11"/>
      <c r="K185" s="500"/>
      <c r="L185" s="11"/>
      <c r="M185" s="11"/>
      <c r="N185" s="11"/>
    </row>
    <row r="186" spans="7:14" x14ac:dyDescent="0.2">
      <c r="G186" s="41"/>
      <c r="H186" s="11"/>
      <c r="I186" s="11"/>
      <c r="J186" s="11"/>
      <c r="K186" s="500"/>
      <c r="L186" s="11"/>
      <c r="M186" s="11"/>
      <c r="N186" s="11"/>
    </row>
    <row r="187" spans="7:14" x14ac:dyDescent="0.2">
      <c r="G187" s="41"/>
      <c r="H187" s="11"/>
      <c r="I187" s="11"/>
      <c r="J187" s="11"/>
      <c r="K187" s="500"/>
      <c r="L187" s="11"/>
      <c r="M187" s="11"/>
      <c r="N187" s="11"/>
    </row>
    <row r="188" spans="7:14" x14ac:dyDescent="0.2">
      <c r="G188" s="41"/>
      <c r="H188" s="11"/>
      <c r="I188" s="11"/>
      <c r="J188" s="11"/>
      <c r="K188" s="500"/>
      <c r="L188" s="11"/>
      <c r="M188" s="11"/>
      <c r="N188" s="11"/>
    </row>
    <row r="189" spans="7:14" x14ac:dyDescent="0.2">
      <c r="G189" s="41"/>
      <c r="H189" s="11"/>
      <c r="I189" s="11"/>
      <c r="J189" s="11"/>
      <c r="K189" s="500"/>
      <c r="L189" s="11"/>
      <c r="M189" s="11"/>
      <c r="N189" s="11"/>
    </row>
    <row r="190" spans="7:14" x14ac:dyDescent="0.2">
      <c r="G190" s="41"/>
      <c r="H190" s="11"/>
      <c r="I190" s="11"/>
      <c r="J190" s="11"/>
      <c r="K190" s="500"/>
      <c r="L190" s="11"/>
      <c r="M190" s="11"/>
      <c r="N190" s="11"/>
    </row>
    <row r="191" spans="7:14" x14ac:dyDescent="0.2">
      <c r="G191" s="41"/>
      <c r="H191" s="11"/>
      <c r="I191" s="11"/>
      <c r="J191" s="11"/>
      <c r="K191" s="500"/>
      <c r="L191" s="11"/>
      <c r="M191" s="11"/>
      <c r="N191" s="11"/>
    </row>
    <row r="192" spans="7:14" x14ac:dyDescent="0.2">
      <c r="G192" s="41"/>
      <c r="H192" s="11"/>
      <c r="I192" s="11"/>
      <c r="J192" s="11"/>
      <c r="K192" s="500"/>
      <c r="L192" s="11"/>
      <c r="M192" s="11"/>
      <c r="N192" s="11"/>
    </row>
    <row r="193" spans="7:14" x14ac:dyDescent="0.2">
      <c r="G193" s="41"/>
      <c r="H193" s="11"/>
      <c r="I193" s="11"/>
      <c r="J193" s="11"/>
      <c r="K193" s="500"/>
      <c r="L193" s="11"/>
      <c r="M193" s="11"/>
      <c r="N193" s="11"/>
    </row>
    <row r="194" spans="7:14" x14ac:dyDescent="0.2">
      <c r="G194" s="41"/>
      <c r="H194" s="11"/>
      <c r="I194" s="11"/>
      <c r="J194" s="11"/>
      <c r="K194" s="500"/>
      <c r="L194" s="11"/>
      <c r="M194" s="11"/>
      <c r="N194" s="11"/>
    </row>
    <row r="195" spans="7:14" x14ac:dyDescent="0.2">
      <c r="G195" s="41"/>
      <c r="H195" s="11"/>
      <c r="I195" s="11"/>
      <c r="J195" s="11"/>
      <c r="K195" s="500"/>
      <c r="L195" s="11"/>
      <c r="M195" s="11"/>
      <c r="N195" s="11"/>
    </row>
    <row r="196" spans="7:14" x14ac:dyDescent="0.2">
      <c r="G196" s="41"/>
      <c r="H196" s="11"/>
      <c r="I196" s="11"/>
      <c r="J196" s="11"/>
      <c r="K196" s="500"/>
      <c r="L196" s="11"/>
      <c r="M196" s="11"/>
      <c r="N196" s="11"/>
    </row>
    <row r="197" spans="7:14" x14ac:dyDescent="0.2">
      <c r="G197" s="41"/>
      <c r="H197" s="11"/>
      <c r="I197" s="11"/>
      <c r="J197" s="11"/>
      <c r="K197" s="500"/>
      <c r="L197" s="11"/>
      <c r="M197" s="11"/>
      <c r="N197" s="11"/>
    </row>
    <row r="198" spans="7:14" x14ac:dyDescent="0.2">
      <c r="G198" s="41"/>
      <c r="H198" s="11"/>
      <c r="I198" s="11"/>
      <c r="J198" s="11"/>
      <c r="K198" s="500"/>
      <c r="L198" s="11"/>
      <c r="M198" s="11"/>
      <c r="N198" s="11"/>
    </row>
    <row r="199" spans="7:14" x14ac:dyDescent="0.2">
      <c r="G199" s="41"/>
      <c r="H199" s="11"/>
      <c r="I199" s="11"/>
      <c r="J199" s="11"/>
      <c r="K199" s="500"/>
      <c r="L199" s="11"/>
      <c r="M199" s="11"/>
      <c r="N199" s="11"/>
    </row>
    <row r="200" spans="7:14" x14ac:dyDescent="0.2">
      <c r="G200" s="41"/>
      <c r="H200" s="11"/>
      <c r="I200" s="11"/>
      <c r="J200" s="11"/>
      <c r="K200" s="500"/>
      <c r="L200" s="11"/>
      <c r="M200" s="11"/>
      <c r="N200" s="11"/>
    </row>
    <row r="201" spans="7:14" x14ac:dyDescent="0.2">
      <c r="G201" s="41"/>
      <c r="H201" s="11"/>
      <c r="I201" s="11"/>
      <c r="J201" s="11"/>
      <c r="K201" s="500"/>
      <c r="L201" s="11"/>
      <c r="M201" s="11"/>
      <c r="N201" s="11"/>
    </row>
    <row r="202" spans="7:14" x14ac:dyDescent="0.2">
      <c r="G202" s="41"/>
      <c r="H202" s="11"/>
      <c r="I202" s="11"/>
      <c r="J202" s="11"/>
      <c r="K202" s="500"/>
      <c r="L202" s="11"/>
      <c r="M202" s="11"/>
      <c r="N202" s="11"/>
    </row>
    <row r="203" spans="7:14" x14ac:dyDescent="0.2">
      <c r="G203" s="41"/>
      <c r="H203" s="11"/>
      <c r="I203" s="11"/>
      <c r="J203" s="11"/>
      <c r="K203" s="500"/>
      <c r="L203" s="11"/>
      <c r="M203" s="11"/>
      <c r="N203" s="11"/>
    </row>
    <row r="204" spans="7:14" x14ac:dyDescent="0.2">
      <c r="G204" s="41"/>
      <c r="H204" s="11"/>
      <c r="I204" s="11"/>
      <c r="J204" s="11"/>
      <c r="K204" s="500"/>
      <c r="L204" s="11"/>
      <c r="M204" s="11"/>
      <c r="N204" s="11"/>
    </row>
    <row r="205" spans="7:14" x14ac:dyDescent="0.2">
      <c r="G205" s="41"/>
      <c r="H205" s="11"/>
      <c r="I205" s="11"/>
      <c r="J205" s="11"/>
      <c r="K205" s="500"/>
      <c r="L205" s="11"/>
      <c r="M205" s="11"/>
      <c r="N205" s="11"/>
    </row>
    <row r="206" spans="7:14" x14ac:dyDescent="0.2">
      <c r="G206" s="41"/>
      <c r="H206" s="11"/>
      <c r="I206" s="11"/>
      <c r="J206" s="11"/>
      <c r="K206" s="500"/>
      <c r="L206" s="11"/>
      <c r="M206" s="11"/>
      <c r="N206" s="11"/>
    </row>
    <row r="207" spans="7:14" x14ac:dyDescent="0.2">
      <c r="G207" s="41"/>
      <c r="H207" s="11"/>
      <c r="I207" s="11"/>
      <c r="J207" s="11"/>
      <c r="K207" s="500"/>
      <c r="L207" s="11"/>
      <c r="M207" s="11"/>
      <c r="N207" s="11"/>
    </row>
    <row r="208" spans="7:14" x14ac:dyDescent="0.2">
      <c r="G208" s="41"/>
      <c r="H208" s="11"/>
      <c r="I208" s="11"/>
      <c r="J208" s="11"/>
      <c r="K208" s="500"/>
      <c r="L208" s="11"/>
      <c r="M208" s="11"/>
      <c r="N208" s="11"/>
    </row>
    <row r="209" spans="7:14" x14ac:dyDescent="0.2">
      <c r="G209" s="41"/>
      <c r="H209" s="42"/>
      <c r="I209" s="42"/>
      <c r="J209" s="42"/>
      <c r="K209" s="506"/>
      <c r="L209" s="42"/>
      <c r="M209" s="42"/>
      <c r="N209" s="42"/>
    </row>
    <row r="210" spans="7:14" x14ac:dyDescent="0.2">
      <c r="G210" s="41"/>
      <c r="H210" s="11"/>
      <c r="I210" s="44"/>
      <c r="J210" s="11"/>
      <c r="K210" s="507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02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03"/>
      <c r="L215" s="57"/>
      <c r="M215" s="50"/>
      <c r="N215" s="106"/>
    </row>
    <row r="216" spans="7:14" x14ac:dyDescent="0.2">
      <c r="J216" s="50"/>
      <c r="K216" s="503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04"/>
      <c r="L220" s="38"/>
      <c r="M220" s="4"/>
    </row>
    <row r="221" spans="7:14" x14ac:dyDescent="0.2">
      <c r="G221" s="39"/>
      <c r="H221" s="6"/>
      <c r="I221" s="40"/>
      <c r="J221" s="6"/>
      <c r="K221" s="505"/>
      <c r="L221" s="6"/>
      <c r="M221" s="6"/>
    </row>
    <row r="222" spans="7:14" x14ac:dyDescent="0.2">
      <c r="G222" s="41"/>
      <c r="H222" s="11"/>
      <c r="I222" s="11"/>
      <c r="J222" s="11"/>
      <c r="K222" s="500"/>
      <c r="L222" s="11"/>
      <c r="M222" s="11"/>
      <c r="N222" s="11"/>
    </row>
    <row r="223" spans="7:14" x14ac:dyDescent="0.2">
      <c r="G223" s="41"/>
      <c r="H223" s="11"/>
      <c r="I223" s="11"/>
      <c r="J223" s="11"/>
      <c r="K223" s="500"/>
      <c r="L223" s="11"/>
      <c r="M223" s="11"/>
      <c r="N223" s="11"/>
    </row>
    <row r="224" spans="7:14" x14ac:dyDescent="0.2">
      <c r="G224" s="41"/>
      <c r="H224" s="11"/>
      <c r="I224" s="11"/>
      <c r="J224" s="11"/>
      <c r="K224" s="500"/>
      <c r="L224" s="11"/>
      <c r="M224" s="11"/>
      <c r="N224" s="11"/>
    </row>
    <row r="225" spans="7:14" x14ac:dyDescent="0.2">
      <c r="G225" s="41"/>
      <c r="H225" s="11"/>
      <c r="I225" s="11"/>
      <c r="J225" s="11"/>
      <c r="K225" s="500"/>
      <c r="L225" s="11"/>
      <c r="M225" s="11"/>
      <c r="N225" s="11"/>
    </row>
    <row r="226" spans="7:14" x14ac:dyDescent="0.2">
      <c r="G226" s="41"/>
      <c r="H226" s="11"/>
      <c r="I226" s="11"/>
      <c r="J226" s="11"/>
      <c r="K226" s="500"/>
      <c r="L226" s="11"/>
      <c r="M226" s="11"/>
      <c r="N226" s="11"/>
    </row>
    <row r="227" spans="7:14" x14ac:dyDescent="0.2">
      <c r="G227" s="41"/>
      <c r="H227" s="11"/>
      <c r="I227" s="11"/>
      <c r="J227" s="11"/>
      <c r="K227" s="500"/>
      <c r="L227" s="11"/>
      <c r="M227" s="11"/>
      <c r="N227" s="11"/>
    </row>
    <row r="228" spans="7:14" x14ac:dyDescent="0.2">
      <c r="G228" s="41"/>
      <c r="H228" s="11"/>
      <c r="I228" s="11"/>
      <c r="J228" s="11"/>
      <c r="K228" s="500"/>
      <c r="L228" s="11"/>
      <c r="M228" s="11"/>
      <c r="N228" s="11"/>
    </row>
    <row r="229" spans="7:14" x14ac:dyDescent="0.2">
      <c r="G229" s="41"/>
      <c r="H229" s="11"/>
      <c r="I229" s="11"/>
      <c r="J229" s="11"/>
      <c r="K229" s="500"/>
      <c r="L229" s="11"/>
      <c r="M229" s="11"/>
      <c r="N229" s="11"/>
    </row>
    <row r="230" spans="7:14" x14ac:dyDescent="0.2">
      <c r="G230" s="41"/>
      <c r="H230" s="11"/>
      <c r="I230" s="11"/>
      <c r="J230" s="11"/>
      <c r="K230" s="500"/>
      <c r="L230" s="11"/>
      <c r="M230" s="11"/>
      <c r="N230" s="11"/>
    </row>
    <row r="231" spans="7:14" x14ac:dyDescent="0.2">
      <c r="G231" s="41"/>
      <c r="H231" s="11"/>
      <c r="I231" s="11"/>
      <c r="J231" s="11"/>
      <c r="K231" s="500"/>
      <c r="L231" s="11"/>
      <c r="M231" s="11"/>
      <c r="N231" s="11"/>
    </row>
    <row r="232" spans="7:14" x14ac:dyDescent="0.2">
      <c r="G232" s="41"/>
      <c r="H232" s="11"/>
      <c r="I232" s="11"/>
      <c r="J232" s="11"/>
      <c r="K232" s="500"/>
      <c r="L232" s="11"/>
      <c r="M232" s="11"/>
      <c r="N232" s="11"/>
    </row>
    <row r="233" spans="7:14" x14ac:dyDescent="0.2">
      <c r="G233" s="41"/>
      <c r="H233" s="11"/>
      <c r="I233" s="11"/>
      <c r="J233" s="11"/>
      <c r="K233" s="500"/>
      <c r="L233" s="11"/>
      <c r="M233" s="11"/>
      <c r="N233" s="11"/>
    </row>
    <row r="234" spans="7:14" x14ac:dyDescent="0.2">
      <c r="G234" s="41"/>
      <c r="H234" s="11"/>
      <c r="I234" s="11"/>
      <c r="J234" s="11"/>
      <c r="K234" s="500"/>
      <c r="L234" s="11"/>
      <c r="M234" s="11"/>
      <c r="N234" s="11"/>
    </row>
    <row r="235" spans="7:14" x14ac:dyDescent="0.2">
      <c r="G235" s="41"/>
      <c r="H235" s="11"/>
      <c r="I235" s="11"/>
      <c r="J235" s="11"/>
      <c r="K235" s="500"/>
      <c r="L235" s="11"/>
      <c r="M235" s="11"/>
      <c r="N235" s="11"/>
    </row>
    <row r="236" spans="7:14" x14ac:dyDescent="0.2">
      <c r="G236" s="41"/>
      <c r="H236" s="11"/>
      <c r="I236" s="11"/>
      <c r="J236" s="11"/>
      <c r="K236" s="500"/>
      <c r="L236" s="11"/>
      <c r="M236" s="11"/>
      <c r="N236" s="11"/>
    </row>
    <row r="237" spans="7:14" x14ac:dyDescent="0.2">
      <c r="G237" s="41"/>
      <c r="H237" s="11"/>
      <c r="I237" s="11"/>
      <c r="J237" s="11"/>
      <c r="K237" s="500"/>
      <c r="L237" s="11"/>
      <c r="M237" s="11"/>
      <c r="N237" s="11"/>
    </row>
    <row r="238" spans="7:14" x14ac:dyDescent="0.2">
      <c r="G238" s="41"/>
      <c r="H238" s="11"/>
      <c r="I238" s="11"/>
      <c r="J238" s="11"/>
      <c r="K238" s="500"/>
      <c r="L238" s="11"/>
      <c r="M238" s="11"/>
      <c r="N238" s="11"/>
    </row>
    <row r="239" spans="7:14" x14ac:dyDescent="0.2">
      <c r="G239" s="41"/>
      <c r="H239" s="11"/>
      <c r="I239" s="11"/>
      <c r="J239" s="11"/>
      <c r="K239" s="500"/>
      <c r="L239" s="11"/>
      <c r="M239" s="11"/>
      <c r="N239" s="11"/>
    </row>
    <row r="240" spans="7:14" x14ac:dyDescent="0.2">
      <c r="G240" s="41"/>
      <c r="H240" s="11"/>
      <c r="I240" s="11"/>
      <c r="J240" s="11"/>
      <c r="K240" s="500"/>
      <c r="L240" s="11"/>
      <c r="M240" s="11"/>
      <c r="N240" s="11"/>
    </row>
    <row r="241" spans="7:14" x14ac:dyDescent="0.2">
      <c r="G241" s="41"/>
      <c r="H241" s="11"/>
      <c r="I241" s="11"/>
      <c r="J241" s="11"/>
      <c r="K241" s="500"/>
      <c r="L241" s="11"/>
      <c r="M241" s="11"/>
      <c r="N241" s="11"/>
    </row>
    <row r="242" spans="7:14" x14ac:dyDescent="0.2">
      <c r="G242" s="41"/>
      <c r="H242" s="11"/>
      <c r="I242" s="11"/>
      <c r="J242" s="11"/>
      <c r="K242" s="500"/>
      <c r="L242" s="11"/>
      <c r="M242" s="11"/>
      <c r="N242" s="11"/>
    </row>
    <row r="243" spans="7:14" x14ac:dyDescent="0.2">
      <c r="G243" s="41"/>
      <c r="H243" s="11"/>
      <c r="I243" s="11"/>
      <c r="J243" s="11"/>
      <c r="K243" s="500"/>
      <c r="L243" s="11"/>
      <c r="M243" s="11"/>
      <c r="N243" s="11"/>
    </row>
    <row r="244" spans="7:14" x14ac:dyDescent="0.2">
      <c r="G244" s="41"/>
      <c r="H244" s="11"/>
      <c r="I244" s="11"/>
      <c r="J244" s="11"/>
      <c r="K244" s="500"/>
      <c r="L244" s="11"/>
      <c r="M244" s="11"/>
      <c r="N244" s="11"/>
    </row>
    <row r="245" spans="7:14" x14ac:dyDescent="0.2">
      <c r="G245" s="41"/>
      <c r="H245" s="11"/>
      <c r="I245" s="11"/>
      <c r="J245" s="11"/>
      <c r="K245" s="500"/>
      <c r="L245" s="11"/>
      <c r="M245" s="11"/>
      <c r="N245" s="11"/>
    </row>
    <row r="246" spans="7:14" x14ac:dyDescent="0.2">
      <c r="G246" s="41"/>
      <c r="H246" s="11"/>
      <c r="I246" s="11"/>
      <c r="J246" s="11"/>
      <c r="K246" s="500"/>
      <c r="L246" s="11"/>
      <c r="M246" s="11"/>
      <c r="N246" s="11"/>
    </row>
    <row r="247" spans="7:14" x14ac:dyDescent="0.2">
      <c r="G247" s="41"/>
      <c r="H247" s="11"/>
      <c r="I247" s="11"/>
      <c r="J247" s="11"/>
      <c r="K247" s="500"/>
      <c r="L247" s="11"/>
      <c r="M247" s="11"/>
      <c r="N247" s="11"/>
    </row>
    <row r="248" spans="7:14" x14ac:dyDescent="0.2">
      <c r="G248" s="41"/>
      <c r="H248" s="11"/>
      <c r="I248" s="11"/>
      <c r="J248" s="11"/>
      <c r="K248" s="500"/>
      <c r="L248" s="11"/>
      <c r="M248" s="11"/>
      <c r="N248" s="11"/>
    </row>
    <row r="249" spans="7:14" x14ac:dyDescent="0.2">
      <c r="G249" s="41"/>
      <c r="H249" s="11"/>
      <c r="I249" s="11"/>
      <c r="J249" s="11"/>
      <c r="K249" s="500"/>
      <c r="L249" s="11"/>
      <c r="M249" s="11"/>
      <c r="N249" s="11"/>
    </row>
    <row r="250" spans="7:14" x14ac:dyDescent="0.2">
      <c r="G250" s="41"/>
      <c r="H250" s="11"/>
      <c r="I250" s="11"/>
      <c r="J250" s="11"/>
      <c r="K250" s="500"/>
      <c r="L250" s="11"/>
      <c r="M250" s="11"/>
      <c r="N250" s="11"/>
    </row>
    <row r="251" spans="7:14" x14ac:dyDescent="0.2">
      <c r="G251" s="41"/>
      <c r="H251" s="11"/>
      <c r="I251" s="11"/>
      <c r="J251" s="11"/>
      <c r="K251" s="500"/>
      <c r="L251" s="11"/>
      <c r="M251" s="11"/>
      <c r="N251" s="11"/>
    </row>
    <row r="252" spans="7:14" x14ac:dyDescent="0.2">
      <c r="G252" s="41"/>
      <c r="H252" s="42"/>
      <c r="I252" s="42"/>
      <c r="J252" s="42"/>
      <c r="K252" s="506"/>
      <c r="L252" s="42"/>
      <c r="M252" s="42"/>
      <c r="N252" s="42"/>
    </row>
    <row r="253" spans="7:14" x14ac:dyDescent="0.2">
      <c r="G253" s="41"/>
      <c r="H253" s="11"/>
      <c r="I253" s="44"/>
      <c r="J253" s="11"/>
      <c r="K253" s="507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02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03"/>
      <c r="L258" s="57"/>
      <c r="M258" s="50"/>
      <c r="N258" s="106"/>
    </row>
    <row r="259" spans="10:14" x14ac:dyDescent="0.2">
      <c r="J259" s="50"/>
      <c r="K259" s="503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5" workbookViewId="0">
      <selection activeCell="E16" sqref="E16"/>
    </sheetView>
  </sheetViews>
  <sheetFormatPr defaultRowHeight="13.2" x14ac:dyDescent="0.25"/>
  <cols>
    <col min="1" max="1" width="8.5546875" customWidth="1"/>
    <col min="2" max="2" width="10.44140625" customWidth="1"/>
    <col min="3" max="3" width="9.88671875" bestFit="1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5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-280105</v>
      </c>
      <c r="E5" s="11">
        <v>-279189</v>
      </c>
      <c r="F5" s="11"/>
      <c r="G5" s="11"/>
      <c r="H5" s="24">
        <f>+E5-D5+C5-B5</f>
        <v>916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5">
      <c r="A6" s="10">
        <v>2</v>
      </c>
      <c r="B6" s="11"/>
      <c r="C6" s="11"/>
      <c r="D6" s="11">
        <v>-281156</v>
      </c>
      <c r="E6" s="11">
        <v>-281412</v>
      </c>
      <c r="F6" s="11"/>
      <c r="G6" s="11"/>
      <c r="H6" s="24">
        <f t="shared" ref="H6:H35" si="0">+E6-D6+C6-B6</f>
        <v>-256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5">
      <c r="A7" s="10">
        <v>3</v>
      </c>
      <c r="B7" s="11"/>
      <c r="C7" s="129"/>
      <c r="D7" s="11">
        <v>-278046</v>
      </c>
      <c r="E7" s="129">
        <v>-278687</v>
      </c>
      <c r="F7" s="11"/>
      <c r="G7" s="11"/>
      <c r="H7" s="24">
        <f t="shared" si="0"/>
        <v>-641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29">
        <v>-288230</v>
      </c>
      <c r="E8" s="129">
        <v>-286496</v>
      </c>
      <c r="F8" s="11"/>
      <c r="G8" s="11"/>
      <c r="H8" s="24">
        <f t="shared" si="0"/>
        <v>1734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v>-275663</v>
      </c>
      <c r="E9" s="11">
        <v>-277168</v>
      </c>
      <c r="F9" s="11"/>
      <c r="G9" s="11"/>
      <c r="H9" s="24">
        <f t="shared" si="0"/>
        <v>-1505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v>-305799</v>
      </c>
      <c r="E10" s="11">
        <v>-311288</v>
      </c>
      <c r="F10" s="11"/>
      <c r="G10" s="11"/>
      <c r="H10" s="24">
        <f t="shared" si="0"/>
        <v>-5489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>
        <v>-274586</v>
      </c>
      <c r="E11" s="11">
        <v>-297655</v>
      </c>
      <c r="F11" s="11"/>
      <c r="G11" s="11"/>
      <c r="H11" s="24">
        <f t="shared" si="0"/>
        <v>-23069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1">
        <v>-301032</v>
      </c>
      <c r="E12" s="11">
        <v>-302043</v>
      </c>
      <c r="F12" s="11"/>
      <c r="G12" s="11"/>
      <c r="H12" s="24">
        <f t="shared" si="0"/>
        <v>-1011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>
        <v>-261625</v>
      </c>
      <c r="E13" s="11">
        <v>-265280</v>
      </c>
      <c r="F13" s="11"/>
      <c r="G13" s="11"/>
      <c r="H13" s="24">
        <f t="shared" si="0"/>
        <v>-3655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>
        <v>-278418</v>
      </c>
      <c r="E14" s="11">
        <v>-280886</v>
      </c>
      <c r="F14" s="11"/>
      <c r="G14" s="11"/>
      <c r="H14" s="24">
        <f t="shared" si="0"/>
        <v>-2468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>
        <v>-275621</v>
      </c>
      <c r="E15" s="11">
        <v>-278459</v>
      </c>
      <c r="F15" s="11"/>
      <c r="G15" s="11"/>
      <c r="H15" s="24">
        <f t="shared" si="0"/>
        <v>-2838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29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29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-3100281</v>
      </c>
      <c r="E36" s="11">
        <f t="shared" si="15"/>
        <v>-3138563</v>
      </c>
      <c r="F36" s="11">
        <f t="shared" si="15"/>
        <v>0</v>
      </c>
      <c r="G36" s="11">
        <f t="shared" si="15"/>
        <v>0</v>
      </c>
      <c r="H36" s="11">
        <f t="shared" si="15"/>
        <v>-38282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C37" s="25">
        <f>+C36-B36</f>
        <v>0</v>
      </c>
      <c r="E37" s="25">
        <f>+E36-D36</f>
        <v>-38282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37315</v>
      </c>
      <c r="B38" s="2" t="s">
        <v>45</v>
      </c>
      <c r="C38" s="627">
        <v>64269</v>
      </c>
      <c r="D38" s="320"/>
      <c r="E38" s="626">
        <v>-26821</v>
      </c>
      <c r="F38" s="24"/>
      <c r="G38" s="24"/>
      <c r="H38" s="236">
        <f>+C38+E38+G38</f>
        <v>37448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57">
        <v>37326</v>
      </c>
      <c r="B39" s="2" t="s">
        <v>45</v>
      </c>
      <c r="C39" s="131">
        <f>+C38+C37</f>
        <v>64269</v>
      </c>
      <c r="D39" s="252"/>
      <c r="E39" s="131">
        <f>+E38+E37</f>
        <v>-65103</v>
      </c>
      <c r="F39" s="252"/>
      <c r="G39" s="131"/>
      <c r="H39" s="131">
        <f>+H38+H36</f>
        <v>-834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C41" s="259"/>
      <c r="E41" s="343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32" t="s">
        <v>149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49">
        <f>+A38</f>
        <v>37315</v>
      </c>
      <c r="B44" s="32"/>
      <c r="C44" s="568">
        <v>-1582961.01</v>
      </c>
      <c r="D44" s="205"/>
      <c r="E44" s="569">
        <v>925707</v>
      </c>
      <c r="F44" s="47">
        <f>+E44+C44</f>
        <v>-657254.01</v>
      </c>
      <c r="G44" s="247">
        <f>+G42-G43</f>
        <v>15616</v>
      </c>
      <c r="H44" s="37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49">
        <f>+A39</f>
        <v>37326</v>
      </c>
      <c r="B45" s="32"/>
      <c r="C45" s="47">
        <f>+C37*summary!G4</f>
        <v>0</v>
      </c>
      <c r="D45" s="205"/>
      <c r="E45" s="375">
        <f>+E37*summary!G3</f>
        <v>-94939.36</v>
      </c>
      <c r="F45" s="47">
        <f>+E45+C45</f>
        <v>-94939.36</v>
      </c>
      <c r="G45" s="247"/>
      <c r="H45" s="37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32"/>
      <c r="B46" s="32"/>
      <c r="C46" s="47">
        <f>+C45+C44</f>
        <v>-1582961.01</v>
      </c>
      <c r="D46" s="205"/>
      <c r="E46" s="375">
        <v>925707</v>
      </c>
      <c r="F46" s="47">
        <f>+E46+C46</f>
        <v>-657254.01</v>
      </c>
      <c r="G46" s="247"/>
      <c r="H46" s="37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375"/>
      <c r="D47" s="375"/>
      <c r="E47" s="375"/>
      <c r="F47" s="47"/>
      <c r="G47" s="247"/>
      <c r="H47" s="37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46</vt:i4>
      </vt:variant>
      <vt:variant>
        <vt:lpstr>Named Ranges</vt:lpstr>
      </vt:variant>
      <vt:variant>
        <vt:i4>28</vt:i4>
      </vt:variant>
    </vt:vector>
  </HeadingPairs>
  <TitlesOfParts>
    <vt:vector size="74" baseType="lpstr">
      <vt:lpstr>monthly</vt:lpstr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Amarillo!Print_Area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2002-03-07T18:55:25Z</cp:lastPrinted>
  <dcterms:created xsi:type="dcterms:W3CDTF">2000-03-28T16:52:23Z</dcterms:created>
  <dcterms:modified xsi:type="dcterms:W3CDTF">2023-09-10T12:01:11Z</dcterms:modified>
</cp:coreProperties>
</file>