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B5" i="8" l="1"/>
  <c r="D5" i="8"/>
  <c r="B6" i="8"/>
  <c r="D6" i="8"/>
  <c r="B7" i="8"/>
  <c r="D7" i="8"/>
  <c r="B8" i="8"/>
  <c r="D8" i="8"/>
  <c r="B9" i="8"/>
  <c r="D9" i="8"/>
  <c r="D10" i="8"/>
  <c r="D11" i="8"/>
  <c r="B12" i="8"/>
  <c r="D12" i="8"/>
  <c r="B13" i="8"/>
  <c r="D13" i="8"/>
  <c r="D14" i="8"/>
  <c r="D15" i="8"/>
  <c r="B16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J11" i="20"/>
  <c r="J15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8" i="67"/>
  <c r="A43" i="67"/>
  <c r="A44" i="67"/>
  <c r="D44" i="67"/>
  <c r="D45" i="67"/>
  <c r="D6" i="65"/>
  <c r="B7" i="65"/>
  <c r="D7" i="65"/>
  <c r="D8" i="65"/>
  <c r="D9" i="65"/>
  <c r="D10" i="65"/>
  <c r="B11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B5" i="64"/>
  <c r="D5" i="64"/>
  <c r="B6" i="64"/>
  <c r="D6" i="64"/>
  <c r="B7" i="64"/>
  <c r="D7" i="64"/>
  <c r="D8" i="64"/>
  <c r="B9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86" i="63"/>
  <c r="B87" i="63"/>
  <c r="B97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<sst xmlns="http://schemas.openxmlformats.org/spreadsheetml/2006/main" count="1014" uniqueCount="313">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</sst>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5" fontId="9" fillId="0" borderId="1" xfId="0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2.06</v>
          </cell>
          <cell r="K39">
            <v>2.06</v>
          </cell>
          <cell r="M39">
            <v>2.06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topLeftCell="A90" workbookViewId="0">
      <selection activeCell="G5" sqref="G5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3"/>
    </row>
    <row r="2" spans="1:32" ht="12.9" customHeight="1" x14ac:dyDescent="0.25">
      <c r="A2" s="34" t="s">
        <v>140</v>
      </c>
      <c r="D2" s="7"/>
      <c r="F2" s="383" t="s">
        <v>78</v>
      </c>
      <c r="G2" s="386"/>
      <c r="H2" s="32"/>
    </row>
    <row r="3" spans="1:32" ht="12.9" customHeight="1" x14ac:dyDescent="0.25">
      <c r="D3" s="7"/>
      <c r="F3" s="384" t="s">
        <v>29</v>
      </c>
      <c r="G3" s="387">
        <f>+summary!G3</f>
        <v>2.06</v>
      </c>
      <c r="H3" s="402">
        <f ca="1">NOW()</f>
        <v>37292.517566319446</v>
      </c>
    </row>
    <row r="4" spans="1:32" ht="12.9" customHeight="1" x14ac:dyDescent="0.25">
      <c r="A4" s="34" t="s">
        <v>145</v>
      </c>
      <c r="C4" s="34" t="s">
        <v>5</v>
      </c>
      <c r="D4" s="7"/>
      <c r="F4" s="385" t="s">
        <v>30</v>
      </c>
      <c r="G4" s="387">
        <f>+summary!G4</f>
        <v>2.06</v>
      </c>
      <c r="H4" s="32"/>
    </row>
    <row r="5" spans="1:32" ht="12.9" customHeight="1" x14ac:dyDescent="0.25">
      <c r="D5" s="7"/>
      <c r="F5" s="384" t="s">
        <v>117</v>
      </c>
      <c r="G5" s="387">
        <f>+summary!G5</f>
        <v>2.06</v>
      </c>
      <c r="H5" s="32"/>
    </row>
    <row r="6" spans="1:32" ht="6.9" customHeight="1" x14ac:dyDescent="0.25"/>
    <row r="7" spans="1:32" ht="12.9" customHeight="1" x14ac:dyDescent="0.25">
      <c r="A7" s="400" t="s">
        <v>163</v>
      </c>
      <c r="B7" s="401"/>
      <c r="AD7" s="32"/>
      <c r="AE7" s="32"/>
      <c r="AF7" s="32"/>
    </row>
    <row r="8" spans="1:32" ht="15.9" customHeight="1" outlineLevel="2" x14ac:dyDescent="0.25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6" t="s">
        <v>155</v>
      </c>
    </row>
    <row r="12" spans="1:32" ht="13.5" customHeight="1" outlineLevel="1" x14ac:dyDescent="0.25">
      <c r="A12" s="506" t="s">
        <v>127</v>
      </c>
      <c r="B12" s="346">
        <f>+Calpine!D41</f>
        <v>15275.580000000002</v>
      </c>
      <c r="C12" s="369">
        <f>+B12/$G$4</f>
        <v>7415.3300970873797</v>
      </c>
      <c r="D12" s="14">
        <f>+Calpine!D47</f>
        <v>94525</v>
      </c>
      <c r="E12" s="70">
        <f>+C12-D12</f>
        <v>-87109.669902912618</v>
      </c>
      <c r="F12" s="364">
        <f>+Calpine!A41</f>
        <v>37290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5">
      <c r="A13" s="248" t="s">
        <v>139</v>
      </c>
      <c r="B13" s="346">
        <f>+'Citizens-Griffith'!D41</f>
        <v>31899.5</v>
      </c>
      <c r="C13" s="368">
        <f>+B13/$G$4</f>
        <v>15485.194174757282</v>
      </c>
      <c r="D13" s="14">
        <f>+'Citizens-Griffith'!D48</f>
        <v>18967</v>
      </c>
      <c r="E13" s="70">
        <f>+C13-D13</f>
        <v>-3481.8058252427181</v>
      </c>
      <c r="F13" s="364">
        <f>+'Citizens-Griffith'!A41</f>
        <v>37290</v>
      </c>
      <c r="G13" s="203" t="s">
        <v>303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280</v>
      </c>
      <c r="B14" s="480">
        <f>+SWGasTrans!D41</f>
        <v>-20477.36</v>
      </c>
      <c r="C14" s="368">
        <f>+B14/G4</f>
        <v>-9940.4660194174758</v>
      </c>
      <c r="D14" s="14">
        <f>+SWGasTrans!$D$48</f>
        <v>3211</v>
      </c>
      <c r="E14" s="70">
        <f>+C14-D14</f>
        <v>-13151.466019417476</v>
      </c>
      <c r="F14" s="364">
        <f>+SWGasTrans!A41</f>
        <v>37290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6">
        <f>+'NS Steel'!D41</f>
        <v>-294110.32</v>
      </c>
      <c r="C15" s="368">
        <f>+B15/$G$4</f>
        <v>-142772</v>
      </c>
      <c r="D15" s="14">
        <f>+'NS Steel'!D50</f>
        <v>-14966</v>
      </c>
      <c r="E15" s="70">
        <f>+C15-D15</f>
        <v>-127806</v>
      </c>
      <c r="F15" s="365">
        <f>+'NS Steel'!A41</f>
        <v>37290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06" t="s">
        <v>135</v>
      </c>
      <c r="B16" s="349">
        <f>+Citizens!D18</f>
        <v>-550339.18999999994</v>
      </c>
      <c r="C16" s="370">
        <f>+B16/$G$4</f>
        <v>-267154.94660194172</v>
      </c>
      <c r="D16" s="350">
        <f>+Citizens!D24</f>
        <v>-42903</v>
      </c>
      <c r="E16" s="72">
        <f>+C16-D16</f>
        <v>-224251.94660194172</v>
      </c>
      <c r="F16" s="364">
        <f>+Citizens!A18</f>
        <v>37287</v>
      </c>
      <c r="G16" s="203" t="s">
        <v>303</v>
      </c>
      <c r="H16" s="204" t="s">
        <v>99</v>
      </c>
      <c r="I16" s="419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88">
        <f>SUBTOTAL(9,B12:B16)</f>
        <v>-817751.78999999992</v>
      </c>
      <c r="C17" s="393">
        <f>SUBTOTAL(9,C12:C16)</f>
        <v>-396966.88834951451</v>
      </c>
      <c r="D17" s="394">
        <f>SUBTOTAL(9,D12:D16)</f>
        <v>58834</v>
      </c>
      <c r="E17" s="395">
        <f>SUBTOTAL(9,E12:E16)</f>
        <v>-455800.88834951451</v>
      </c>
      <c r="F17" s="364"/>
      <c r="G17" s="203"/>
      <c r="H17" s="204"/>
      <c r="I17" s="352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7" t="s">
        <v>57</v>
      </c>
      <c r="G19" s="7"/>
    </row>
    <row r="20" spans="1:20" ht="13.5" customHeight="1" outlineLevel="2" x14ac:dyDescent="0.25">
      <c r="A20" s="248" t="s">
        <v>71</v>
      </c>
      <c r="B20" s="481">
        <f>+transcol!$D$43</f>
        <v>31795.9</v>
      </c>
      <c r="C20" s="368">
        <f>+B20/$G$4</f>
        <v>15434.902912621359</v>
      </c>
      <c r="D20" s="14">
        <f>+transcol!D50</f>
        <v>-40645</v>
      </c>
      <c r="E20" s="70">
        <f>+C20-D20</f>
        <v>56079.902912621357</v>
      </c>
      <c r="F20" s="365">
        <f>+transcol!A43</f>
        <v>37290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06" t="s">
        <v>292</v>
      </c>
      <c r="B21" s="481">
        <f>+C21*G3</f>
        <v>-13680.460000000001</v>
      </c>
      <c r="C21" s="368">
        <f>+williams!J40</f>
        <v>-6641</v>
      </c>
      <c r="D21" s="14">
        <f>+C21</f>
        <v>-6641</v>
      </c>
      <c r="E21" s="70">
        <f>+C21-D21</f>
        <v>0</v>
      </c>
      <c r="F21" s="365">
        <f>+williams!A40</f>
        <v>37290</v>
      </c>
      <c r="G21" s="203" t="s">
        <v>154</v>
      </c>
      <c r="H21" s="32" t="s">
        <v>293</v>
      </c>
      <c r="I21" s="32"/>
      <c r="J21" s="32"/>
      <c r="K21" s="32"/>
      <c r="T21" s="259"/>
    </row>
    <row r="22" spans="1:20" ht="13.5" customHeight="1" outlineLevel="2" x14ac:dyDescent="0.25">
      <c r="A22" s="506" t="s">
        <v>95</v>
      </c>
      <c r="B22" s="497">
        <f>+burlington!D42</f>
        <v>-15598.96</v>
      </c>
      <c r="C22" s="372">
        <f>+B22/$G$3</f>
        <v>-7572.3106796116499</v>
      </c>
      <c r="D22" s="350">
        <f>+burlington!D49</f>
        <v>-10122</v>
      </c>
      <c r="E22" s="72">
        <f>+C22-D22</f>
        <v>2549.6893203883501</v>
      </c>
      <c r="F22" s="364">
        <f>+burlington!A42</f>
        <v>37290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88">
        <f>SUBTOTAL(9,B20:B22)</f>
        <v>2516.4800000000032</v>
      </c>
      <c r="C23" s="389">
        <f>SUBTOTAL(9,C20:C22)</f>
        <v>1221.5922330097092</v>
      </c>
      <c r="D23" s="394">
        <f>SUBTOTAL(9,D20:D22)</f>
        <v>-57408</v>
      </c>
      <c r="E23" s="395">
        <f>SUBTOTAL(9,E20:E22)</f>
        <v>58629.592233009709</v>
      </c>
      <c r="F23" s="364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" customHeight="1" outlineLevel="2" x14ac:dyDescent="0.25">
      <c r="A26" s="506" t="s">
        <v>87</v>
      </c>
      <c r="B26" s="480">
        <f>+NNG!$D$24</f>
        <v>-72322.260000000009</v>
      </c>
      <c r="C26" s="368">
        <f>+B26/$G$4</f>
        <v>-35107.893203883497</v>
      </c>
      <c r="D26" s="14">
        <f>+NNG!D34</f>
        <v>-36799</v>
      </c>
      <c r="E26" s="70">
        <f t="shared" ref="E26:E50" si="0">+C26-D26</f>
        <v>1691.1067961165027</v>
      </c>
      <c r="F26" s="364">
        <f>+NNG!A24</f>
        <v>37290</v>
      </c>
      <c r="G26" s="204" t="s">
        <v>302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480">
        <f>+Conoco!$F$41</f>
        <v>438875.21</v>
      </c>
      <c r="C27" s="368">
        <f>+B27/$G$4</f>
        <v>213046.21844660194</v>
      </c>
      <c r="D27" s="14">
        <f>+Conoco!D48</f>
        <v>7478</v>
      </c>
      <c r="E27" s="70">
        <f t="shared" si="0"/>
        <v>205568.21844660194</v>
      </c>
      <c r="F27" s="364">
        <f>+Conoco!A41</f>
        <v>37290</v>
      </c>
      <c r="G27" s="32" t="s">
        <v>303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46">
        <f>+'Amoco Abo'!$F$43</f>
        <v>153217.25</v>
      </c>
      <c r="C28" s="368">
        <f>+B28/$G$4</f>
        <v>74377.305825242714</v>
      </c>
      <c r="D28" s="14">
        <f>+'Amoco Abo'!D49</f>
        <v>-367882</v>
      </c>
      <c r="E28" s="70">
        <f t="shared" si="0"/>
        <v>442259.30582524271</v>
      </c>
      <c r="F28" s="365">
        <f>+'Amoco Abo'!A43</f>
        <v>37290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480">
        <f>+KN_Westar!F41</f>
        <v>295806.83</v>
      </c>
      <c r="C29" s="368">
        <f>+B29/$G$4</f>
        <v>143595.54854368934</v>
      </c>
      <c r="D29" s="14">
        <f>+KN_Westar!D48</f>
        <v>-53608</v>
      </c>
      <c r="E29" s="70">
        <f t="shared" si="0"/>
        <v>197203.54854368934</v>
      </c>
      <c r="F29" s="365">
        <f>+KN_Westar!A41</f>
        <v>37287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06" t="s">
        <v>256</v>
      </c>
      <c r="B30" s="480">
        <f>+summary!B9</f>
        <v>1228247.25</v>
      </c>
      <c r="C30" s="369">
        <f>+B30/$G$5</f>
        <v>596236.52912621363</v>
      </c>
      <c r="D30" s="14">
        <f>+Duke!$G$40+Duke!$H$40+Duke!$I$53+Duke!$I$54</f>
        <v>366625</v>
      </c>
      <c r="E30" s="70">
        <f t="shared" si="0"/>
        <v>229611.52912621363</v>
      </c>
      <c r="F30" s="365">
        <f>+Duke!A42</f>
        <v>37287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5">
      <c r="A31" s="506" t="s">
        <v>249</v>
      </c>
      <c r="B31" s="480">
        <f>+summary!B8</f>
        <v>1508753.99</v>
      </c>
      <c r="C31" s="369">
        <f>+B31/$G$5</f>
        <v>732404.8495145631</v>
      </c>
      <c r="D31" s="14">
        <f>+Duke!$F$40</f>
        <v>367789</v>
      </c>
      <c r="E31" s="70">
        <f t="shared" si="0"/>
        <v>364615.8495145631</v>
      </c>
      <c r="F31" s="365">
        <f>+Duke!A7</f>
        <v>37287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5">
      <c r="A32" s="506" t="s">
        <v>248</v>
      </c>
      <c r="B32" s="480">
        <f>+summary!B43</f>
        <v>-2824442.71</v>
      </c>
      <c r="C32" s="369">
        <f>+B32/$G$5</f>
        <v>-1371088.6941747572</v>
      </c>
      <c r="D32" s="14">
        <f>+DEFS!$I$36+DEFS!$J$36+DEFS!$K$45+DEFS!$K$46+DEFS!$K$47+DEFS!$K$48</f>
        <v>-447453</v>
      </c>
      <c r="E32" s="70">
        <f t="shared" si="0"/>
        <v>-923635.69417475723</v>
      </c>
      <c r="F32" s="365">
        <f>+DEFS!A40</f>
        <v>37290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5">
      <c r="A33" s="248" t="s">
        <v>2</v>
      </c>
      <c r="B33" s="480">
        <f>+mewborne!$J$43</f>
        <v>338908.62</v>
      </c>
      <c r="C33" s="368">
        <f>+B33/$G$4</f>
        <v>164518.74757281554</v>
      </c>
      <c r="D33" s="14">
        <f>+mewborne!D49</f>
        <v>134259</v>
      </c>
      <c r="E33" s="70">
        <f t="shared" si="0"/>
        <v>30259.74757281554</v>
      </c>
      <c r="F33" s="365">
        <f>+mewborne!A43</f>
        <v>37290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5">
      <c r="A34" s="248" t="s">
        <v>147</v>
      </c>
      <c r="B34" s="480">
        <f>+PGETX!$H$39</f>
        <v>9867</v>
      </c>
      <c r="C34" s="368">
        <f>+B34/$G$4</f>
        <v>4789.8058252427181</v>
      </c>
      <c r="D34" s="14">
        <f>+PGETX!E48</f>
        <v>32476</v>
      </c>
      <c r="E34" s="70">
        <f t="shared" si="0"/>
        <v>-27686.194174757282</v>
      </c>
      <c r="F34" s="365">
        <f>+PGETX!E39</f>
        <v>37287</v>
      </c>
      <c r="G34" s="32" t="s">
        <v>304</v>
      </c>
      <c r="H34" s="32" t="s">
        <v>102</v>
      </c>
      <c r="I34" s="32" t="s">
        <v>175</v>
      </c>
      <c r="J34" s="32"/>
      <c r="K34" s="32"/>
    </row>
    <row r="35" spans="1:11" ht="14.1" customHeight="1" x14ac:dyDescent="0.25">
      <c r="A35" s="248" t="s">
        <v>82</v>
      </c>
      <c r="B35" s="346">
        <f>+PNM!$D$23</f>
        <v>825054.8600000001</v>
      </c>
      <c r="C35" s="368">
        <f>+B35/$G$4</f>
        <v>400512.0679611651</v>
      </c>
      <c r="D35" s="14">
        <f>+PNM!D30</f>
        <v>335367</v>
      </c>
      <c r="E35" s="70">
        <f t="shared" si="0"/>
        <v>65145.067961165099</v>
      </c>
      <c r="F35" s="365">
        <f>+PNM!A23</f>
        <v>37290</v>
      </c>
      <c r="G35" s="32" t="s">
        <v>302</v>
      </c>
      <c r="H35" s="32" t="s">
        <v>115</v>
      </c>
      <c r="I35" s="32"/>
      <c r="J35" s="32"/>
      <c r="K35" s="32"/>
    </row>
    <row r="36" spans="1:11" ht="14.1" customHeight="1" x14ac:dyDescent="0.25">
      <c r="A36" s="32" t="s">
        <v>103</v>
      </c>
      <c r="B36" s="480">
        <f>+EOG!J41</f>
        <v>18980</v>
      </c>
      <c r="C36" s="368">
        <f>+B36/$G$4</f>
        <v>9213.5922330097092</v>
      </c>
      <c r="D36" s="14">
        <f>+EOG!D48</f>
        <v>-18594</v>
      </c>
      <c r="E36" s="70">
        <f t="shared" si="0"/>
        <v>27807.592233009709</v>
      </c>
      <c r="F36" s="364">
        <f>+EOG!A41</f>
        <v>37287</v>
      </c>
      <c r="G36" s="32" t="s">
        <v>302</v>
      </c>
      <c r="H36" s="32" t="s">
        <v>102</v>
      </c>
      <c r="I36" s="32"/>
      <c r="J36" s="32"/>
      <c r="K36" s="32"/>
    </row>
    <row r="37" spans="1:11" ht="14.1" customHeight="1" x14ac:dyDescent="0.25">
      <c r="A37" s="248" t="s">
        <v>6</v>
      </c>
      <c r="B37" s="346">
        <f>+Oasis!D40</f>
        <v>-135517.85999999999</v>
      </c>
      <c r="C37" s="368">
        <f>+B37/G5</f>
        <v>-65785.368932038822</v>
      </c>
      <c r="D37" s="14">
        <f>+Oasis!D47</f>
        <v>-67015</v>
      </c>
      <c r="E37" s="70">
        <f>+C37-D37</f>
        <v>1229.6310679611779</v>
      </c>
      <c r="F37" s="364">
        <f>+Oasis!A40</f>
        <v>37290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131</v>
      </c>
      <c r="B38" s="480">
        <f>+SidR!D41</f>
        <v>4721.78</v>
      </c>
      <c r="C38" s="368">
        <f>+B38/$G$5</f>
        <v>2292.1262135922329</v>
      </c>
      <c r="D38" s="14">
        <f>+SidR!D48</f>
        <v>2088</v>
      </c>
      <c r="E38" s="70">
        <f t="shared" si="0"/>
        <v>204.12621359223294</v>
      </c>
      <c r="F38" s="365">
        <f>+SidR!A41</f>
        <v>37290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5">
      <c r="A39" s="506" t="s">
        <v>260</v>
      </c>
      <c r="B39" s="346">
        <f>+summary!$B$46</f>
        <v>-203736.06</v>
      </c>
      <c r="C39" s="368">
        <f>+summary!$C$46</f>
        <v>-98901</v>
      </c>
      <c r="D39" s="14">
        <f>+MiVida_Rich!D48</f>
        <v>-51454</v>
      </c>
      <c r="E39" s="70">
        <f>+C39-D39</f>
        <v>-47447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5">
      <c r="A40" s="248" t="s">
        <v>207</v>
      </c>
      <c r="B40" s="346">
        <f>+Dominion!D41</f>
        <v>174270.36</v>
      </c>
      <c r="C40" s="368">
        <f>+B40/$G$5</f>
        <v>84597.262135922327</v>
      </c>
      <c r="D40" s="14">
        <f>+Dominion!D48</f>
        <v>76246</v>
      </c>
      <c r="E40" s="70">
        <f t="shared" si="0"/>
        <v>8351.2621359223267</v>
      </c>
      <c r="F40" s="365">
        <f>+Dominion!A41</f>
        <v>37290</v>
      </c>
      <c r="G40" s="203" t="s">
        <v>302</v>
      </c>
      <c r="H40" s="32" t="s">
        <v>99</v>
      </c>
      <c r="I40" s="32"/>
      <c r="J40" s="32"/>
      <c r="K40" s="32"/>
    </row>
    <row r="41" spans="1:11" ht="14.1" customHeight="1" x14ac:dyDescent="0.25">
      <c r="A41" s="248" t="s">
        <v>204</v>
      </c>
      <c r="B41" s="346">
        <f>+WTGmktg!J43</f>
        <v>-34625.18</v>
      </c>
      <c r="C41" s="368">
        <f>+B41/$G$4</f>
        <v>-16808.339805825242</v>
      </c>
      <c r="D41" s="14">
        <f>+WTGmktg!D50</f>
        <v>-2982</v>
      </c>
      <c r="E41" s="70">
        <f t="shared" si="0"/>
        <v>-13826.339805825242</v>
      </c>
      <c r="F41" s="365">
        <f>+WTGmktg!A43</f>
        <v>37290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5">
      <c r="A42" s="248" t="s">
        <v>283</v>
      </c>
      <c r="B42" s="346">
        <f>+'WTG inc'!N43</f>
        <v>25673.48</v>
      </c>
      <c r="C42" s="368">
        <f>+B42/G4</f>
        <v>12462.854368932038</v>
      </c>
      <c r="D42" s="14">
        <f>+'WTG inc'!D50</f>
        <v>8793</v>
      </c>
      <c r="E42" s="70">
        <f>+C42-D42</f>
        <v>3669.8543689320377</v>
      </c>
      <c r="F42" s="365">
        <f>+'WTG inc'!A43</f>
        <v>37290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5">
      <c r="A43" s="248" t="s">
        <v>208</v>
      </c>
      <c r="B43" s="346">
        <f>+Devon!D41</f>
        <v>138899.48000000001</v>
      </c>
      <c r="C43" s="368">
        <f>+B43/$G$5</f>
        <v>67426.932038834959</v>
      </c>
      <c r="D43" s="14">
        <f>+Devon!D48</f>
        <v>23203</v>
      </c>
      <c r="E43" s="70">
        <f t="shared" si="0"/>
        <v>44223.932038834959</v>
      </c>
      <c r="F43" s="365">
        <f>+Devon!A41</f>
        <v>37290</v>
      </c>
      <c r="G43" s="203" t="s">
        <v>303</v>
      </c>
      <c r="H43" s="32" t="s">
        <v>99</v>
      </c>
      <c r="I43" s="32"/>
      <c r="J43" s="32"/>
      <c r="K43" s="32"/>
    </row>
    <row r="44" spans="1:11" ht="13.5" customHeight="1" x14ac:dyDescent="0.25">
      <c r="A44" s="248" t="s">
        <v>217</v>
      </c>
      <c r="B44" s="346">
        <f>+crosstex!F41</f>
        <v>-135032.64000000001</v>
      </c>
      <c r="C44" s="368">
        <f>+B44/$G$4</f>
        <v>-65549.825242718449</v>
      </c>
      <c r="D44" s="14">
        <f>+crosstex!D48</f>
        <v>-44281</v>
      </c>
      <c r="E44" s="70">
        <f t="shared" si="0"/>
        <v>-21268.825242718449</v>
      </c>
      <c r="F44" s="365">
        <f>+crosstex!A41</f>
        <v>37290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5">
      <c r="A45" s="248" t="s">
        <v>218</v>
      </c>
      <c r="B45" s="346">
        <f>+Amarillo!P41</f>
        <v>93080.3</v>
      </c>
      <c r="C45" s="368">
        <f>+B45/$G$4</f>
        <v>45184.611650485436</v>
      </c>
      <c r="D45" s="14">
        <f>+Amarillo!D48</f>
        <v>38637</v>
      </c>
      <c r="E45" s="70">
        <f t="shared" si="0"/>
        <v>6547.6116504854363</v>
      </c>
      <c r="F45" s="365">
        <f>+Amarillo!A41</f>
        <v>37290</v>
      </c>
      <c r="G45" s="203" t="s">
        <v>303</v>
      </c>
      <c r="H45" s="32" t="s">
        <v>113</v>
      </c>
      <c r="I45" s="32"/>
      <c r="J45" s="32"/>
      <c r="K45" s="32"/>
    </row>
    <row r="46" spans="1:11" ht="13.5" customHeight="1" x14ac:dyDescent="0.25">
      <c r="A46" s="248" t="s">
        <v>298</v>
      </c>
      <c r="B46" s="346">
        <f>+Stratland!$D$41</f>
        <v>34122.25</v>
      </c>
      <c r="C46" s="369">
        <f>+B46/$G$4</f>
        <v>16564.199029126212</v>
      </c>
      <c r="D46" s="14">
        <f>+Stratland!D48</f>
        <v>10453</v>
      </c>
      <c r="E46" s="70">
        <f>+C46-D46</f>
        <v>6111.1990291262118</v>
      </c>
      <c r="F46" s="364">
        <f>+Stratland!A41</f>
        <v>37271</v>
      </c>
      <c r="G46" s="203" t="s">
        <v>302</v>
      </c>
      <c r="H46" s="32" t="s">
        <v>102</v>
      </c>
      <c r="I46" s="32"/>
      <c r="J46" s="32"/>
      <c r="K46" s="32"/>
    </row>
    <row r="47" spans="1:11" ht="13.5" customHeight="1" x14ac:dyDescent="0.25">
      <c r="A47" s="248" t="s">
        <v>309</v>
      </c>
      <c r="B47" s="346">
        <f>+Plains!$N$43</f>
        <v>107948.28</v>
      </c>
      <c r="C47" s="369">
        <f>+B47/$G$4</f>
        <v>52402.077669902908</v>
      </c>
      <c r="D47" s="14">
        <f>+Plains!D50</f>
        <v>36315</v>
      </c>
      <c r="E47" s="70">
        <f>+C47-D47</f>
        <v>16087.077669902908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5">
      <c r="A48" s="248" t="s">
        <v>109</v>
      </c>
      <c r="B48" s="346">
        <f>+Continental!F43</f>
        <v>27491.7</v>
      </c>
      <c r="C48" s="369">
        <f>+B48/$G$4</f>
        <v>13345.485436893205</v>
      </c>
      <c r="D48" s="14">
        <f>+Continental!D50</f>
        <v>-2505</v>
      </c>
      <c r="E48" s="70">
        <f t="shared" si="0"/>
        <v>15850.485436893205</v>
      </c>
      <c r="F48" s="365">
        <f>+Continental!A43</f>
        <v>37290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5">
      <c r="A49" s="248" t="s">
        <v>129</v>
      </c>
      <c r="B49" s="346">
        <f>+EPFS!D41</f>
        <v>120295.2</v>
      </c>
      <c r="C49" s="369">
        <f>+B49/$G$5</f>
        <v>58395.728155339806</v>
      </c>
      <c r="D49" s="14">
        <f>+EPFS!D47</f>
        <v>71602</v>
      </c>
      <c r="E49" s="70">
        <f t="shared" si="0"/>
        <v>-13206.271844660194</v>
      </c>
      <c r="F49" s="364">
        <f>+EPFS!A41</f>
        <v>37290</v>
      </c>
      <c r="G49" s="203" t="s">
        <v>154</v>
      </c>
      <c r="H49" s="32" t="s">
        <v>102</v>
      </c>
      <c r="I49" s="32"/>
      <c r="J49" s="32"/>
      <c r="K49" s="32"/>
    </row>
    <row r="50" spans="1:19" ht="12.9" customHeight="1" x14ac:dyDescent="0.25">
      <c r="A50" s="506" t="s">
        <v>79</v>
      </c>
      <c r="B50" s="497">
        <f>+Agave!$D$24</f>
        <v>196204.49</v>
      </c>
      <c r="C50" s="370">
        <f>+B50/$G$4</f>
        <v>95244.898058252424</v>
      </c>
      <c r="D50" s="350">
        <f>+Agave!D31</f>
        <v>106671</v>
      </c>
      <c r="E50" s="72">
        <f t="shared" si="0"/>
        <v>-11426.101941747576</v>
      </c>
      <c r="F50" s="364">
        <f>+Agave!A24</f>
        <v>37290</v>
      </c>
      <c r="G50" s="203" t="s">
        <v>303</v>
      </c>
      <c r="H50" s="204" t="s">
        <v>102</v>
      </c>
      <c r="I50" s="32"/>
      <c r="J50" s="32"/>
      <c r="K50" s="32"/>
    </row>
    <row r="51" spans="1:19" ht="17.100000000000001" customHeight="1" x14ac:dyDescent="0.25">
      <c r="A51" s="153" t="s">
        <v>161</v>
      </c>
      <c r="B51" s="388">
        <f>SUBTOTAL(9,B26:B50)</f>
        <v>2334741.62</v>
      </c>
      <c r="C51" s="393">
        <f>SUBTOTAL(9,C26:C50)</f>
        <v>1133369.7184466021</v>
      </c>
      <c r="D51" s="394">
        <f>SUBTOTAL(9,D26:D50)</f>
        <v>525429</v>
      </c>
      <c r="E51" s="395">
        <f>SUBTOTAL(9,E26:E50)</f>
        <v>607940.71844660211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5">
      <c r="A52" s="204"/>
      <c r="H52" s="32"/>
      <c r="I52" s="204"/>
      <c r="J52" s="32"/>
      <c r="K52" s="32"/>
      <c r="L52" s="32"/>
    </row>
    <row r="53" spans="1:19" ht="17.100000000000001" customHeight="1" x14ac:dyDescent="0.25">
      <c r="A53" s="153" t="s">
        <v>162</v>
      </c>
      <c r="B53" s="388">
        <f>SUBTOTAL(9,B12:B50)</f>
        <v>1519506.31</v>
      </c>
      <c r="C53" s="393">
        <f>SUBTOTAL(9,C12:C50)</f>
        <v>737624.4223300973</v>
      </c>
      <c r="D53" s="394">
        <f>SUBTOTAL(9,D12:D50)</f>
        <v>526855</v>
      </c>
      <c r="E53" s="395">
        <f>SUBTOTAL(9,E12:E50)</f>
        <v>210769.42233009735</v>
      </c>
      <c r="F53" s="364"/>
      <c r="G53" s="204"/>
      <c r="H53" s="32"/>
      <c r="I53" s="204"/>
      <c r="J53" s="32"/>
      <c r="K53" s="32"/>
      <c r="L53" s="32"/>
    </row>
    <row r="54" spans="1:19" ht="12.9" customHeight="1" x14ac:dyDescent="0.25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5"/>
    <row r="56" spans="1:19" ht="12.9" customHeight="1" x14ac:dyDescent="0.25"/>
    <row r="57" spans="1:19" ht="13.5" customHeight="1" x14ac:dyDescent="0.25"/>
    <row r="58" spans="1:19" ht="13.5" customHeight="1" outlineLevel="2" x14ac:dyDescent="0.25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5">
      <c r="D59" s="7"/>
      <c r="F59" s="384" t="s">
        <v>29</v>
      </c>
      <c r="G59" s="387">
        <f>+G3</f>
        <v>2.06</v>
      </c>
      <c r="H59" s="402">
        <f ca="1">NOW()</f>
        <v>37292.517566319446</v>
      </c>
    </row>
    <row r="60" spans="1:19" ht="13.5" customHeight="1" outlineLevel="2" x14ac:dyDescent="0.25">
      <c r="A60" s="34" t="s">
        <v>145</v>
      </c>
      <c r="C60" s="34" t="s">
        <v>5</v>
      </c>
      <c r="D60" s="7"/>
      <c r="F60" s="385" t="s">
        <v>30</v>
      </c>
      <c r="G60" s="387">
        <f>+G4</f>
        <v>2.06</v>
      </c>
      <c r="H60" s="32"/>
    </row>
    <row r="61" spans="1:19" ht="13.5" customHeight="1" outlineLevel="1" x14ac:dyDescent="0.25">
      <c r="D61" s="7"/>
      <c r="F61" s="384" t="s">
        <v>117</v>
      </c>
      <c r="G61" s="387">
        <f>+G5</f>
        <v>2.06</v>
      </c>
      <c r="H61" s="32"/>
    </row>
    <row r="62" spans="1:19" ht="13.5" customHeight="1" outlineLevel="2" x14ac:dyDescent="0.25"/>
    <row r="63" spans="1:19" ht="13.5" customHeight="1" outlineLevel="2" x14ac:dyDescent="0.25">
      <c r="A63" s="400" t="s">
        <v>164</v>
      </c>
      <c r="B63" s="401"/>
      <c r="E63" s="12" t="s">
        <v>197</v>
      </c>
    </row>
    <row r="64" spans="1:19" ht="13.5" customHeight="1" outlineLevel="2" x14ac:dyDescent="0.25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5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5">
      <c r="B66" s="286"/>
      <c r="C66" s="247"/>
    </row>
    <row r="67" spans="1:19" ht="13.5" customHeight="1" outlineLevel="1" x14ac:dyDescent="0.25">
      <c r="A67" s="366" t="s">
        <v>155</v>
      </c>
      <c r="B67" s="286"/>
      <c r="C67" s="247"/>
      <c r="G67" s="203"/>
    </row>
    <row r="68" spans="1:19" ht="13.5" customHeight="1" outlineLevel="2" x14ac:dyDescent="0.25">
      <c r="A68" s="248" t="s">
        <v>94</v>
      </c>
      <c r="B68" s="508">
        <f>+Mojave!D40</f>
        <v>179819</v>
      </c>
      <c r="C68" s="346">
        <f>+B68*$G$4</f>
        <v>370427.14</v>
      </c>
      <c r="D68" s="47">
        <f>+Mojave!D47</f>
        <v>185207.6</v>
      </c>
      <c r="E68" s="47">
        <f>+C68-D68</f>
        <v>185219.54</v>
      </c>
      <c r="F68" s="365">
        <f>+Mojave!A40</f>
        <v>37290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5">
      <c r="A69" s="248" t="s">
        <v>32</v>
      </c>
      <c r="B69" s="369">
        <f>+SoCal!F40</f>
        <v>83202</v>
      </c>
      <c r="C69" s="346">
        <f>+B69*$G$4</f>
        <v>171396.12</v>
      </c>
      <c r="D69" s="47">
        <f>+SoCal!D47</f>
        <v>287999.40000000002</v>
      </c>
      <c r="E69" s="47">
        <f>+C69-D69</f>
        <v>-116603.28000000003</v>
      </c>
      <c r="F69" s="365">
        <f>+SoCal!A40</f>
        <v>37290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5">
      <c r="A70" s="248" t="s">
        <v>178</v>
      </c>
      <c r="B70" s="368">
        <f>+'El Paso'!C39</f>
        <v>64269</v>
      </c>
      <c r="C70" s="346">
        <f>+B70*$G$4</f>
        <v>132394.14000000001</v>
      </c>
      <c r="D70" s="47">
        <f>+'El Paso'!C46</f>
        <v>-1582961.01</v>
      </c>
      <c r="E70" s="47">
        <f>+C70-D70</f>
        <v>1715355.15</v>
      </c>
      <c r="F70" s="365">
        <f>+'El Paso'!A39</f>
        <v>37290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5">
      <c r="A71" s="248" t="s">
        <v>114</v>
      </c>
      <c r="B71" s="370">
        <f>+'PG&amp;E'!D40</f>
        <v>32090</v>
      </c>
      <c r="C71" s="349">
        <f>+B71*$G$4</f>
        <v>66105.400000000009</v>
      </c>
      <c r="D71" s="349">
        <f>+'PG&amp;E'!D47</f>
        <v>-136730.92000000001</v>
      </c>
      <c r="E71" s="349">
        <f>+C71-D71</f>
        <v>202836.32</v>
      </c>
      <c r="F71" s="365">
        <f>+'PG&amp;E'!A40</f>
        <v>37290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5">
      <c r="A72" s="2" t="s">
        <v>156</v>
      </c>
      <c r="B72" s="393">
        <f>SUBTOTAL(9,B68:B71)</f>
        <v>359380</v>
      </c>
      <c r="C72" s="388">
        <f>SUBTOTAL(9,C68:C71)</f>
        <v>740322.8</v>
      </c>
      <c r="D72" s="388">
        <f>SUBTOTAL(9,D68:D71)</f>
        <v>-1246484.93</v>
      </c>
      <c r="E72" s="388">
        <f>SUBTOTAL(9,E68:E71)</f>
        <v>1986807.73</v>
      </c>
      <c r="F72" s="365"/>
      <c r="G72" s="203"/>
      <c r="H72" s="32"/>
      <c r="I72" s="32"/>
      <c r="J72" s="32"/>
      <c r="K72" s="32"/>
    </row>
    <row r="73" spans="1:19" ht="12.9" customHeight="1" x14ac:dyDescent="0.25">
      <c r="B73" s="286"/>
      <c r="C73" s="247"/>
      <c r="G73" s="203"/>
    </row>
    <row r="74" spans="1:19" ht="15" customHeight="1" x14ac:dyDescent="0.25">
      <c r="A74" s="366" t="s">
        <v>57</v>
      </c>
      <c r="B74" s="286"/>
      <c r="C74" s="247"/>
      <c r="G74" s="203"/>
    </row>
    <row r="75" spans="1:19" x14ac:dyDescent="0.25">
      <c r="A75" s="248" t="s">
        <v>23</v>
      </c>
      <c r="B75" s="368">
        <f>+'Red C'!F45</f>
        <v>17603</v>
      </c>
      <c r="C75" s="347">
        <f>+B75*G59</f>
        <v>36262.18</v>
      </c>
      <c r="D75" s="200">
        <f>+'Red C'!D52</f>
        <v>408432.06</v>
      </c>
      <c r="E75" s="47">
        <f>+C75-D75</f>
        <v>-372169.88</v>
      </c>
      <c r="F75" s="364">
        <f>+'Red C'!A45</f>
        <v>37290</v>
      </c>
      <c r="G75" s="203" t="s">
        <v>153</v>
      </c>
      <c r="H75" s="32" t="s">
        <v>115</v>
      </c>
      <c r="I75" s="32"/>
      <c r="J75" s="32"/>
      <c r="K75" s="32"/>
    </row>
    <row r="76" spans="1:19" x14ac:dyDescent="0.25">
      <c r="A76" s="248" t="s">
        <v>291</v>
      </c>
      <c r="B76" s="368">
        <f>+Amoco!D40</f>
        <v>7084</v>
      </c>
      <c r="C76" s="346">
        <f>+B76*$G$3</f>
        <v>14593.04</v>
      </c>
      <c r="D76" s="47">
        <f>+Amoco!D47</f>
        <v>349658.92</v>
      </c>
      <c r="E76" s="47">
        <f>+C76-D76</f>
        <v>-335065.88</v>
      </c>
      <c r="F76" s="365">
        <f>+Amoco!A40</f>
        <v>37290</v>
      </c>
      <c r="G76" s="203" t="s">
        <v>153</v>
      </c>
      <c r="H76" s="32" t="s">
        <v>115</v>
      </c>
      <c r="I76" s="32"/>
      <c r="J76" s="32"/>
      <c r="K76" s="32"/>
    </row>
    <row r="77" spans="1:19" x14ac:dyDescent="0.25">
      <c r="A77" s="248" t="s">
        <v>179</v>
      </c>
      <c r="B77" s="368">
        <f>+'El Paso'!E39</f>
        <v>-22395</v>
      </c>
      <c r="C77" s="346">
        <f>+B77*$G$3</f>
        <v>-46133.700000000004</v>
      </c>
      <c r="D77" s="47">
        <f>+'El Paso'!F46</f>
        <v>-657254.01</v>
      </c>
      <c r="E77" s="47">
        <f>+C77-D77</f>
        <v>611120.31000000006</v>
      </c>
      <c r="F77" s="365">
        <f>+'El Paso'!A39</f>
        <v>37290</v>
      </c>
      <c r="G77" s="420" t="s">
        <v>154</v>
      </c>
      <c r="H77" s="32" t="s">
        <v>100</v>
      </c>
      <c r="I77" s="32"/>
      <c r="J77" s="32"/>
      <c r="K77" s="32"/>
    </row>
    <row r="78" spans="1:19" x14ac:dyDescent="0.25">
      <c r="A78" s="248" t="s">
        <v>1</v>
      </c>
      <c r="B78" s="370">
        <f>+NW!$F$41</f>
        <v>15099</v>
      </c>
      <c r="C78" s="349">
        <f>+B78*$G$3</f>
        <v>31103.940000000002</v>
      </c>
      <c r="D78" s="349">
        <f>+NW!E49</f>
        <v>-430140.5</v>
      </c>
      <c r="E78" s="349">
        <f>+C78-D78</f>
        <v>461244.44</v>
      </c>
      <c r="F78" s="364">
        <f>+NW!B41</f>
        <v>37290</v>
      </c>
      <c r="G78" s="203" t="s">
        <v>153</v>
      </c>
      <c r="H78" s="32" t="s">
        <v>115</v>
      </c>
      <c r="I78" s="32"/>
      <c r="J78" s="32"/>
      <c r="K78" s="32"/>
    </row>
    <row r="79" spans="1:19" x14ac:dyDescent="0.25">
      <c r="A79" s="32" t="s">
        <v>157</v>
      </c>
      <c r="B79" s="393">
        <f>SUBTOTAL(9,B75:B78)</f>
        <v>17391</v>
      </c>
      <c r="C79" s="388">
        <f>SUBTOTAL(9,C75:C78)</f>
        <v>35825.46</v>
      </c>
      <c r="D79" s="388">
        <f>SUBTOTAL(9,D75:D78)</f>
        <v>-329303.53000000003</v>
      </c>
      <c r="E79" s="388">
        <f>SUBTOTAL(9,E75:E78)</f>
        <v>365128.99000000005</v>
      </c>
      <c r="F79" s="364"/>
      <c r="G79" s="203"/>
      <c r="H79" s="32"/>
      <c r="I79" s="32"/>
      <c r="J79" s="32"/>
      <c r="K79" s="32"/>
    </row>
    <row r="80" spans="1:19" x14ac:dyDescent="0.25">
      <c r="B80" s="286"/>
      <c r="C80" s="247"/>
      <c r="G80" s="203"/>
    </row>
    <row r="81" spans="1:12" x14ac:dyDescent="0.25">
      <c r="A81" s="366" t="s">
        <v>159</v>
      </c>
      <c r="B81" s="286"/>
      <c r="C81" s="247"/>
      <c r="G81" s="203"/>
    </row>
    <row r="82" spans="1:12" x14ac:dyDescent="0.25">
      <c r="A82" s="248" t="s">
        <v>88</v>
      </c>
      <c r="B82" s="368">
        <f>+NGPL!F38</f>
        <v>134014</v>
      </c>
      <c r="C82" s="480">
        <f>+B82*$G$5</f>
        <v>276068.84000000003</v>
      </c>
      <c r="D82" s="47">
        <f>+NGPL!D45</f>
        <v>335455.3</v>
      </c>
      <c r="E82" s="47">
        <f>+C82-D82</f>
        <v>-59386.459999999963</v>
      </c>
      <c r="F82" s="365">
        <f>+NGPL!A38</f>
        <v>37290</v>
      </c>
      <c r="G82" s="203" t="s">
        <v>153</v>
      </c>
      <c r="H82" s="32" t="s">
        <v>115</v>
      </c>
      <c r="I82" s="32"/>
      <c r="J82" s="32"/>
      <c r="K82" s="32"/>
    </row>
    <row r="83" spans="1:12" x14ac:dyDescent="0.25">
      <c r="A83" s="248" t="s">
        <v>142</v>
      </c>
      <c r="B83" s="368">
        <f>+PEPL!D41</f>
        <v>-2641</v>
      </c>
      <c r="C83" s="481">
        <f>+B83*$G$4</f>
        <v>-5440.46</v>
      </c>
      <c r="D83" s="47">
        <f>+PEPL!D47</f>
        <v>187508.5</v>
      </c>
      <c r="E83" s="47">
        <f>+C83-D83</f>
        <v>-192948.96</v>
      </c>
      <c r="F83" s="365">
        <f>+PEPL!A41</f>
        <v>37290</v>
      </c>
      <c r="G83" s="32" t="s">
        <v>303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5">
      <c r="A84" s="248" t="s">
        <v>110</v>
      </c>
      <c r="B84" s="206">
        <f>+CIG!D42</f>
        <v>17587</v>
      </c>
      <c r="C84" s="481">
        <f>+B84*$G$4</f>
        <v>36229.22</v>
      </c>
      <c r="D84" s="200">
        <f>+CIG!D49</f>
        <v>385897</v>
      </c>
      <c r="E84" s="70">
        <f>+C84-D84</f>
        <v>-349667.78</v>
      </c>
      <c r="F84" s="365">
        <f>+CIG!A42</f>
        <v>37290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5">
      <c r="A85" s="248" t="s">
        <v>31</v>
      </c>
      <c r="B85" s="372">
        <f>+Lonestar!F43</f>
        <v>105501.7</v>
      </c>
      <c r="C85" s="497">
        <f>+B85*G61</f>
        <v>217333.50200000001</v>
      </c>
      <c r="D85" s="349">
        <f>+Lonestar!D50</f>
        <v>65994.239999999991</v>
      </c>
      <c r="E85" s="349">
        <f>+C85-D85</f>
        <v>151339.26200000002</v>
      </c>
      <c r="F85" s="364">
        <f>+Lonestar!A43</f>
        <v>37290</v>
      </c>
      <c r="G85" s="32" t="s">
        <v>303</v>
      </c>
      <c r="H85" s="32" t="s">
        <v>102</v>
      </c>
      <c r="I85" s="32"/>
      <c r="J85" s="32"/>
      <c r="K85" s="32"/>
    </row>
    <row r="86" spans="1:12" x14ac:dyDescent="0.25">
      <c r="A86" s="2" t="s">
        <v>160</v>
      </c>
      <c r="B86" s="389">
        <f>SUBTOTAL(9,B82:B85)</f>
        <v>254461.7</v>
      </c>
      <c r="C86" s="388">
        <f>SUBTOTAL(9,C82:C85)</f>
        <v>524191.10199999996</v>
      </c>
      <c r="D86" s="388">
        <f>SUBTOTAL(9,D82:D85)</f>
        <v>974855.04</v>
      </c>
      <c r="E86" s="388">
        <f>SUBTOTAL(9,E82:E85)</f>
        <v>-450663.93799999997</v>
      </c>
      <c r="F86" s="364"/>
      <c r="H86" s="32"/>
      <c r="I86" s="32"/>
      <c r="J86" s="32"/>
      <c r="K86" s="32"/>
    </row>
    <row r="87" spans="1:12" x14ac:dyDescent="0.25">
      <c r="B87" s="286"/>
      <c r="C87" s="247"/>
    </row>
    <row r="88" spans="1:12" x14ac:dyDescent="0.25">
      <c r="A88" s="2" t="s">
        <v>165</v>
      </c>
      <c r="B88" s="389">
        <f>SUBTOTAL(9,B68:B85)</f>
        <v>631232.69999999995</v>
      </c>
      <c r="C88" s="388">
        <f>SUBTOTAL(9,C68:C85)</f>
        <v>1300339.3620000004</v>
      </c>
      <c r="D88" s="388">
        <f>SUBTOTAL(9,D68:D85)</f>
        <v>-600933.41999999993</v>
      </c>
      <c r="E88" s="388">
        <f>SUBTOTAL(9,E68:E85)</f>
        <v>1901272.7820000004</v>
      </c>
      <c r="F88" s="364"/>
      <c r="H88" s="32"/>
      <c r="I88" s="32"/>
      <c r="J88" s="32"/>
      <c r="K88" s="32"/>
    </row>
    <row r="89" spans="1:12" x14ac:dyDescent="0.25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5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8" thickBot="1" x14ac:dyDescent="0.3">
      <c r="A91" s="2" t="s">
        <v>167</v>
      </c>
      <c r="B91" s="396">
        <f>+C88+B53</f>
        <v>2819845.6720000003</v>
      </c>
      <c r="C91" s="206"/>
      <c r="D91" s="346"/>
      <c r="E91" s="346"/>
      <c r="F91" s="353"/>
      <c r="H91" s="32"/>
      <c r="I91" s="32"/>
      <c r="J91" s="32"/>
      <c r="K91" s="32"/>
    </row>
    <row r="92" spans="1:12" ht="13.8" thickTop="1" x14ac:dyDescent="0.25">
      <c r="A92" s="2" t="s">
        <v>168</v>
      </c>
      <c r="B92" s="14">
        <f>+B88+C53</f>
        <v>1368857.1223300972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5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5">
      <c r="A94" s="32"/>
      <c r="B94" s="47"/>
      <c r="C94" s="69"/>
      <c r="E94" s="32"/>
      <c r="F94" s="32"/>
      <c r="G94" s="32"/>
      <c r="H94" s="32"/>
      <c r="I94" s="32"/>
    </row>
    <row r="95" spans="1:12" x14ac:dyDescent="0.25">
      <c r="A95" s="32"/>
      <c r="B95" s="47"/>
      <c r="C95" s="69"/>
      <c r="D95" s="32"/>
      <c r="E95" s="32"/>
      <c r="F95" s="32"/>
      <c r="G95" s="32"/>
      <c r="H95" s="32"/>
    </row>
    <row r="96" spans="1:12" x14ac:dyDescent="0.25">
      <c r="A96" s="32"/>
      <c r="B96" s="200"/>
      <c r="C96" s="291"/>
      <c r="D96" s="16"/>
      <c r="E96" s="32"/>
      <c r="F96" s="32"/>
      <c r="G96" s="32"/>
      <c r="H96" s="32"/>
    </row>
    <row r="102" spans="1:8" x14ac:dyDescent="0.25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5">
      <c r="A103" s="32"/>
      <c r="B103" s="47"/>
      <c r="C103" s="14"/>
      <c r="D103" s="32"/>
      <c r="E103" s="32"/>
      <c r="F103" s="32"/>
      <c r="G103" s="32"/>
      <c r="H103" s="32"/>
    </row>
    <row r="104" spans="1:8" x14ac:dyDescent="0.25">
      <c r="A104" s="32"/>
      <c r="B104" s="47"/>
      <c r="C104" s="14"/>
      <c r="D104" s="32"/>
      <c r="E104" s="32"/>
      <c r="F104" s="32"/>
      <c r="G104" s="32"/>
      <c r="H104" s="32"/>
    </row>
    <row r="105" spans="1:8" x14ac:dyDescent="0.25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5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5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5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5">
      <c r="A109" s="32"/>
      <c r="B109" s="47"/>
      <c r="C109" s="69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D127" s="32"/>
      <c r="E127" s="32"/>
      <c r="F127" s="32"/>
      <c r="G127" s="32"/>
      <c r="H127" s="32"/>
    </row>
    <row r="128" spans="1:8" x14ac:dyDescent="0.25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5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5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D132" s="32"/>
      <c r="E132" s="32"/>
      <c r="F132" s="32"/>
      <c r="G132" s="32"/>
      <c r="H132" s="32"/>
    </row>
    <row r="133" spans="1:8" x14ac:dyDescent="0.25">
      <c r="A133" s="32"/>
      <c r="B133" s="47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A139" s="32"/>
      <c r="B139" s="47"/>
      <c r="C139" s="69"/>
      <c r="D139" s="32"/>
      <c r="E139" s="32"/>
      <c r="F139" s="32"/>
      <c r="G139" s="32"/>
      <c r="H139" s="32"/>
    </row>
    <row r="140" spans="1:8" x14ac:dyDescent="0.25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4" workbookViewId="0">
      <selection activeCell="C28" sqref="C28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0">
        <v>1</v>
      </c>
      <c r="B6" s="411">
        <v>147304</v>
      </c>
      <c r="C6" s="411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0">
        <v>2</v>
      </c>
      <c r="B7" s="437">
        <v>162200</v>
      </c>
      <c r="C7" s="411">
        <v>159898</v>
      </c>
      <c r="D7" s="307">
        <f>+C7-B7</f>
        <v>-2302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0">
        <v>3</v>
      </c>
      <c r="B8" s="437">
        <v>156474</v>
      </c>
      <c r="C8" s="411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0">
        <v>4</v>
      </c>
      <c r="B9" s="437"/>
      <c r="C9" s="411"/>
      <c r="D9" s="307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0">
        <v>5</v>
      </c>
      <c r="B10" s="437"/>
      <c r="C10" s="411"/>
      <c r="D10" s="307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0">
        <v>6</v>
      </c>
      <c r="B11" s="437"/>
      <c r="C11" s="411"/>
      <c r="D11" s="30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0">
        <v>7</v>
      </c>
      <c r="B12" s="437"/>
      <c r="C12" s="411"/>
      <c r="D12" s="30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0">
        <v>8</v>
      </c>
      <c r="B13" s="437"/>
      <c r="C13" s="411"/>
      <c r="D13" s="30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0">
        <v>9</v>
      </c>
      <c r="B14" s="411"/>
      <c r="C14" s="411"/>
      <c r="D14" s="30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0">
        <v>10</v>
      </c>
      <c r="B15" s="411"/>
      <c r="C15" s="411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0">
        <v>11</v>
      </c>
      <c r="B16" s="411"/>
      <c r="C16" s="411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0">
        <v>12</v>
      </c>
      <c r="B17" s="411"/>
      <c r="C17" s="411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0">
        <v>13</v>
      </c>
      <c r="B18" s="411"/>
      <c r="C18" s="411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0">
        <v>14</v>
      </c>
      <c r="B19" s="411"/>
      <c r="C19" s="411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0">
        <v>15</v>
      </c>
      <c r="B20" s="411"/>
      <c r="C20" s="411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0">
        <v>16</v>
      </c>
      <c r="B21" s="411"/>
      <c r="C21" s="411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0">
        <v>17</v>
      </c>
      <c r="B22" s="437"/>
      <c r="C22" s="411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0">
        <v>18</v>
      </c>
      <c r="B23" s="437"/>
      <c r="C23" s="411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0">
        <v>19</v>
      </c>
      <c r="B24" s="437"/>
      <c r="C24" s="437"/>
      <c r="D24" s="484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0">
        <v>20</v>
      </c>
      <c r="B25" s="437"/>
      <c r="C25" s="437"/>
      <c r="D25" s="484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0">
        <v>21</v>
      </c>
      <c r="B26" s="437"/>
      <c r="C26" s="437"/>
      <c r="D26" s="484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0">
        <v>22</v>
      </c>
      <c r="B27" s="437"/>
      <c r="C27" s="437"/>
      <c r="D27" s="484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0">
        <v>23</v>
      </c>
      <c r="B28" s="437"/>
      <c r="C28" s="437"/>
      <c r="D28" s="484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0">
        <v>24</v>
      </c>
      <c r="B29" s="437"/>
      <c r="C29" s="437"/>
      <c r="D29" s="484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0">
        <v>25</v>
      </c>
      <c r="B30" s="437"/>
      <c r="C30" s="437"/>
      <c r="D30" s="484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0">
        <v>26</v>
      </c>
      <c r="B31" s="411"/>
      <c r="C31" s="411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0">
        <v>27</v>
      </c>
      <c r="B32" s="411"/>
      <c r="C32" s="411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0"/>
      <c r="B37" s="411">
        <f>SUM(B6:B36)</f>
        <v>465978</v>
      </c>
      <c r="C37" s="411">
        <f>SUM(C6:C36)</f>
        <v>478110</v>
      </c>
      <c r="D37" s="411">
        <f>SUM(D6:D36)</f>
        <v>12132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37287</v>
      </c>
      <c r="B39" s="285"/>
      <c r="C39" s="435"/>
      <c r="D39" s="491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37290</v>
      </c>
      <c r="B40" s="285"/>
      <c r="C40" s="436"/>
      <c r="D40" s="307">
        <f>+D39+D37</f>
        <v>7084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37287</v>
      </c>
      <c r="B45" s="32"/>
      <c r="C45" s="32"/>
      <c r="D45" s="492">
        <v>324667</v>
      </c>
    </row>
    <row r="46" spans="1:16" x14ac:dyDescent="0.25">
      <c r="A46" s="49">
        <f>+A40</f>
        <v>37290</v>
      </c>
      <c r="B46" s="32"/>
      <c r="C46" s="32"/>
      <c r="D46" s="375">
        <f>+D37*'by type_area'!G3</f>
        <v>24991.920000000002</v>
      </c>
    </row>
    <row r="47" spans="1:16" x14ac:dyDescent="0.25">
      <c r="A47" s="32"/>
      <c r="B47" s="32"/>
      <c r="C47" s="32"/>
      <c r="D47" s="200">
        <f>+D46+D45</f>
        <v>349658.92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0" sqref="C30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/>
      <c r="C8" s="51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-50019</v>
      </c>
      <c r="C36" s="24">
        <f>SUM(C5:C35)</f>
        <v>-50000</v>
      </c>
      <c r="D36" s="24">
        <f t="shared" si="0"/>
        <v>19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2.06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39.14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37287</v>
      </c>
      <c r="B39"/>
      <c r="C39" s="15"/>
      <c r="D39" s="528">
        <v>-135557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37290</v>
      </c>
      <c r="B40"/>
      <c r="C40" s="48"/>
      <c r="D40" s="138">
        <f>+D39+D38</f>
        <v>-135517.85999999999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37287</v>
      </c>
      <c r="B45" s="32"/>
      <c r="C45" s="32"/>
      <c r="D45" s="523">
        <v>-67034</v>
      </c>
    </row>
    <row r="46" spans="1:65" x14ac:dyDescent="0.25">
      <c r="A46" s="49">
        <f>+A40</f>
        <v>37290</v>
      </c>
      <c r="B46" s="32"/>
      <c r="C46" s="32"/>
      <c r="D46" s="350">
        <f>+D36</f>
        <v>19</v>
      </c>
    </row>
    <row r="47" spans="1:65" x14ac:dyDescent="0.25">
      <c r="A47" s="32"/>
      <c r="B47" s="32"/>
      <c r="C47" s="32"/>
      <c r="D47" s="14">
        <f>+D46+D45</f>
        <v>-67015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2" workbookViewId="0">
      <selection activeCell="B18" sqref="B18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f>65850+33383</f>
        <v>99233</v>
      </c>
      <c r="C5" s="90">
        <v>97274</v>
      </c>
      <c r="D5" s="90">
        <f>+C5-B5</f>
        <v>-1959</v>
      </c>
      <c r="E5" s="275"/>
      <c r="F5" s="273"/>
    </row>
    <row r="6" spans="1:13" x14ac:dyDescent="0.25">
      <c r="A6" s="87">
        <v>78311</v>
      </c>
      <c r="B6" s="90">
        <f>23264+12167</f>
        <v>35431</v>
      </c>
      <c r="C6" s="90">
        <v>36600</v>
      </c>
      <c r="D6" s="90">
        <f t="shared" ref="D6:D17" si="0">+C6-B6</f>
        <v>1169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f>53434+30138</f>
        <v>83572</v>
      </c>
      <c r="C7" s="90">
        <v>112318</v>
      </c>
      <c r="D7" s="90">
        <f t="shared" si="0"/>
        <v>28746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f>64779+32687</f>
        <v>97466</v>
      </c>
      <c r="C8" s="90">
        <v>118923</v>
      </c>
      <c r="D8" s="90">
        <f t="shared" si="0"/>
        <v>21457</v>
      </c>
      <c r="E8" s="456"/>
      <c r="F8" s="273"/>
    </row>
    <row r="9" spans="1:13" x14ac:dyDescent="0.25">
      <c r="A9" s="87">
        <v>500293</v>
      </c>
      <c r="B9" s="90">
        <f>35269+18307</f>
        <v>53576</v>
      </c>
      <c r="C9" s="90">
        <v>60795</v>
      </c>
      <c r="D9" s="90">
        <f t="shared" si="0"/>
        <v>7219</v>
      </c>
      <c r="E9" s="275"/>
      <c r="F9" s="273"/>
    </row>
    <row r="10" spans="1:13" x14ac:dyDescent="0.25">
      <c r="A10" s="87">
        <v>500302</v>
      </c>
      <c r="B10" s="90"/>
      <c r="C10" s="90">
        <v>909</v>
      </c>
      <c r="D10" s="90">
        <f t="shared" si="0"/>
        <v>909</v>
      </c>
      <c r="E10" s="275"/>
      <c r="F10" s="273"/>
    </row>
    <row r="11" spans="1:13" x14ac:dyDescent="0.25">
      <c r="A11" s="87">
        <v>500303</v>
      </c>
      <c r="B11" s="90"/>
      <c r="C11" s="90">
        <v>2033</v>
      </c>
      <c r="D11" s="90">
        <f t="shared" si="0"/>
        <v>2033</v>
      </c>
      <c r="E11" s="275"/>
      <c r="F11" s="273"/>
    </row>
    <row r="12" spans="1:13" x14ac:dyDescent="0.25">
      <c r="A12" s="91">
        <v>500305</v>
      </c>
      <c r="B12" s="90">
        <f>50555+50671+52097</f>
        <v>153323</v>
      </c>
      <c r="C12" s="90">
        <v>158070</v>
      </c>
      <c r="D12" s="90">
        <f t="shared" si="0"/>
        <v>4747</v>
      </c>
      <c r="E12" s="276"/>
      <c r="F12" s="467"/>
      <c r="G12" s="90"/>
    </row>
    <row r="13" spans="1:13" x14ac:dyDescent="0.25">
      <c r="A13" s="87">
        <v>500307</v>
      </c>
      <c r="B13" s="90">
        <f>6872+3415</f>
        <v>10287</v>
      </c>
      <c r="C13" s="90">
        <v>4256</v>
      </c>
      <c r="D13" s="90">
        <f t="shared" si="0"/>
        <v>-6031</v>
      </c>
      <c r="E13" s="275"/>
      <c r="F13" s="273"/>
    </row>
    <row r="14" spans="1:13" x14ac:dyDescent="0.25">
      <c r="A14" s="87">
        <v>500313</v>
      </c>
      <c r="B14" s="90"/>
      <c r="C14" s="90">
        <v>202</v>
      </c>
      <c r="D14" s="90">
        <f t="shared" si="0"/>
        <v>202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f>12231+6000</f>
        <v>18231</v>
      </c>
      <c r="C16" s="90"/>
      <c r="D16" s="90">
        <f t="shared" si="0"/>
        <v>-18231</v>
      </c>
      <c r="E16" s="275"/>
      <c r="F16" s="273"/>
    </row>
    <row r="17" spans="1:7" x14ac:dyDescent="0.25">
      <c r="A17" s="87">
        <v>500657</v>
      </c>
      <c r="B17" s="88">
        <f>2713+1494</f>
        <v>4207</v>
      </c>
      <c r="C17" s="88"/>
      <c r="D17" s="94">
        <f t="shared" si="0"/>
        <v>-4207</v>
      </c>
      <c r="E17" s="275"/>
      <c r="F17" s="273"/>
      <c r="G17" s="595"/>
    </row>
    <row r="18" spans="1:7" x14ac:dyDescent="0.25">
      <c r="A18" s="87"/>
      <c r="B18" s="88"/>
      <c r="C18" s="88"/>
      <c r="D18" s="88">
        <f>SUM(D5:D17)</f>
        <v>36054</v>
      </c>
      <c r="E18" s="275"/>
      <c r="F18" s="273"/>
    </row>
    <row r="19" spans="1:7" x14ac:dyDescent="0.25">
      <c r="A19" s="87" t="s">
        <v>81</v>
      </c>
      <c r="B19" s="88"/>
      <c r="C19" s="88"/>
      <c r="D19" s="95">
        <f>+summary!G5</f>
        <v>2.06</v>
      </c>
      <c r="E19" s="277"/>
      <c r="F19" s="273"/>
    </row>
    <row r="20" spans="1:7" x14ac:dyDescent="0.25">
      <c r="A20" s="87"/>
      <c r="B20" s="88"/>
      <c r="C20" s="88"/>
      <c r="D20" s="96">
        <f>+D19*D18</f>
        <v>74271.240000000005</v>
      </c>
      <c r="E20" s="207"/>
      <c r="F20" s="274"/>
    </row>
    <row r="21" spans="1:7" x14ac:dyDescent="0.25">
      <c r="A21" s="87"/>
      <c r="B21" s="88"/>
      <c r="C21" s="88"/>
      <c r="D21" s="96"/>
      <c r="E21" s="207"/>
      <c r="F21" s="74"/>
    </row>
    <row r="22" spans="1:7" x14ac:dyDescent="0.25">
      <c r="A22" s="99">
        <v>37287</v>
      </c>
      <c r="B22" s="88"/>
      <c r="C22" s="88"/>
      <c r="D22" s="529">
        <v>121933.25</v>
      </c>
      <c r="E22" s="207"/>
      <c r="F22" s="66"/>
    </row>
    <row r="23" spans="1:7" x14ac:dyDescent="0.25">
      <c r="A23" s="87"/>
      <c r="B23" s="88"/>
      <c r="C23" s="88"/>
      <c r="D23" s="308"/>
      <c r="E23" s="207"/>
      <c r="F23" s="66"/>
    </row>
    <row r="24" spans="1:7" ht="13.8" thickBot="1" x14ac:dyDescent="0.3">
      <c r="A24" s="99">
        <v>37290</v>
      </c>
      <c r="B24" s="88"/>
      <c r="C24" s="88"/>
      <c r="D24" s="318">
        <f>+D22+D20</f>
        <v>196204.49</v>
      </c>
      <c r="E24" s="207"/>
      <c r="F24" s="66"/>
    </row>
    <row r="25" spans="1:7" ht="13.8" thickTop="1" x14ac:dyDescent="0.25">
      <c r="E25" s="278"/>
    </row>
    <row r="28" spans="1:7" x14ac:dyDescent="0.25">
      <c r="A28" s="32" t="s">
        <v>149</v>
      </c>
      <c r="B28" s="32"/>
      <c r="C28" s="32"/>
      <c r="D28" s="32"/>
      <c r="E28" s="345"/>
    </row>
    <row r="29" spans="1:7" x14ac:dyDescent="0.25">
      <c r="A29" s="49">
        <f>+A22</f>
        <v>37287</v>
      </c>
      <c r="B29" s="32"/>
      <c r="C29" s="32"/>
      <c r="D29" s="523">
        <v>70617</v>
      </c>
    </row>
    <row r="30" spans="1:7" x14ac:dyDescent="0.25">
      <c r="A30" s="49">
        <f>+A24</f>
        <v>37290</v>
      </c>
      <c r="B30" s="32"/>
      <c r="C30" s="32"/>
      <c r="D30" s="350">
        <f>+D18</f>
        <v>36054</v>
      </c>
    </row>
    <row r="31" spans="1:7" x14ac:dyDescent="0.25">
      <c r="A31" s="32"/>
      <c r="B31" s="32"/>
      <c r="C31" s="32"/>
      <c r="D31" s="14">
        <f>+D30+D29</f>
        <v>106671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34" sqref="C34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65488</v>
      </c>
      <c r="C6" s="11">
        <v>60000</v>
      </c>
      <c r="D6" s="11"/>
      <c r="E6" s="11"/>
      <c r="F6" s="25">
        <f t="shared" si="2"/>
        <v>-5488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/>
      <c r="C7" s="11"/>
      <c r="D7" s="11"/>
      <c r="E7" s="11"/>
      <c r="F7" s="25">
        <f t="shared" si="2"/>
        <v>0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193281</v>
      </c>
      <c r="C35" s="11">
        <f>SUM(C4:C34)</f>
        <v>179999</v>
      </c>
      <c r="D35" s="11">
        <f>SUM(D4:D34)</f>
        <v>0</v>
      </c>
      <c r="E35" s="11">
        <f>SUM(E4:E34)</f>
        <v>0</v>
      </c>
      <c r="F35" s="11">
        <f>+E35-D35+C35-B35</f>
        <v>-13282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2.06</v>
      </c>
    </row>
    <row r="38" spans="1:7" x14ac:dyDescent="0.2">
      <c r="C38" s="48"/>
      <c r="D38" s="47"/>
      <c r="E38" s="48"/>
      <c r="F38" s="46">
        <f>+F37*F35</f>
        <v>-27360.920000000002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2"/>
      <c r="D40" s="111"/>
      <c r="E40" s="462"/>
      <c r="F40" s="534">
        <v>466236.13</v>
      </c>
      <c r="G40" s="25"/>
    </row>
    <row r="41" spans="1:7" x14ac:dyDescent="0.2">
      <c r="A41" s="57">
        <v>37290</v>
      </c>
      <c r="C41" s="106"/>
      <c r="D41" s="106"/>
      <c r="E41" s="106"/>
      <c r="F41" s="106">
        <f>+F38+F40</f>
        <v>438875.21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37287</v>
      </c>
      <c r="D46" s="535">
        <v>20760</v>
      </c>
      <c r="E46" s="11"/>
      <c r="F46" s="11"/>
      <c r="G46" s="25"/>
    </row>
    <row r="47" spans="1:7" x14ac:dyDescent="0.2">
      <c r="A47" s="49">
        <f>+A41</f>
        <v>37290</v>
      </c>
      <c r="D47" s="350">
        <f>+F35</f>
        <v>-13282</v>
      </c>
      <c r="E47" s="11"/>
      <c r="F47" s="11"/>
      <c r="G47" s="25"/>
    </row>
    <row r="48" spans="1:7" x14ac:dyDescent="0.2">
      <c r="D48" s="14">
        <f>+D47+D46</f>
        <v>7478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2" sqref="B42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182397</v>
      </c>
      <c r="C5" s="11">
        <v>183686</v>
      </c>
      <c r="D5" s="11">
        <v>-2731</v>
      </c>
      <c r="E5" s="11"/>
      <c r="F5" s="11">
        <f>+C5+E5-B5-D5</f>
        <v>4020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175528</v>
      </c>
      <c r="C6" s="11">
        <v>177265</v>
      </c>
      <c r="D6" s="11">
        <v>-2777</v>
      </c>
      <c r="E6" s="11"/>
      <c r="F6" s="11">
        <f t="shared" ref="F6:F35" si="2">+C6+E6-B6-D6</f>
        <v>4514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182010</v>
      </c>
      <c r="C7" s="11">
        <v>183753</v>
      </c>
      <c r="D7" s="11">
        <v>-2998</v>
      </c>
      <c r="E7" s="11"/>
      <c r="F7" s="11">
        <f t="shared" si="2"/>
        <v>4741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/>
      <c r="C8" s="11"/>
      <c r="D8" s="11"/>
      <c r="E8" s="11"/>
      <c r="F8" s="11">
        <f t="shared" si="2"/>
        <v>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539935</v>
      </c>
      <c r="C36" s="11">
        <f>SUM(C5:C35)</f>
        <v>544704</v>
      </c>
      <c r="D36" s="11">
        <f>SUM(D5:D35)</f>
        <v>-8506</v>
      </c>
      <c r="E36" s="11">
        <f>SUM(E5:E35)</f>
        <v>0</v>
      </c>
      <c r="F36" s="11">
        <f>SUM(F5:F35)</f>
        <v>13275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37287</v>
      </c>
      <c r="F39" s="504">
        <v>1824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37290</v>
      </c>
      <c r="F41" s="333">
        <f>+F39+F36</f>
        <v>15099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37287</v>
      </c>
      <c r="C47" s="32"/>
      <c r="D47" s="32"/>
      <c r="E47" s="487">
        <v>-457487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37290</v>
      </c>
      <c r="C48" s="32"/>
      <c r="D48" s="32"/>
      <c r="E48" s="375">
        <f>+F36*'by type_area'!G3</f>
        <v>27346.5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-430140.5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4" workbookViewId="0">
      <selection activeCell="C34" sqref="C34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5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5">
      <c r="A10" s="10">
        <v>3</v>
      </c>
      <c r="B10" s="11">
        <v>94497</v>
      </c>
      <c r="C10" s="11">
        <v>93799</v>
      </c>
      <c r="D10" s="11">
        <f t="shared" si="0"/>
        <v>-698</v>
      </c>
      <c r="E10" s="10"/>
      <c r="F10" s="11"/>
      <c r="G10" s="11"/>
      <c r="H10" s="11"/>
    </row>
    <row r="11" spans="1:8" x14ac:dyDescent="0.25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5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5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5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264883</v>
      </c>
      <c r="C39" s="11">
        <f>SUM(C8:C38)</f>
        <v>266398</v>
      </c>
      <c r="D39" s="11">
        <f>SUM(D8:D38)</f>
        <v>1515</v>
      </c>
      <c r="E39" s="10"/>
      <c r="F39" s="11"/>
      <c r="G39" s="11"/>
      <c r="H39" s="11"/>
    </row>
    <row r="40" spans="1:8" x14ac:dyDescent="0.25">
      <c r="A40" s="26"/>
      <c r="D40" s="75">
        <f>+summary!G4</f>
        <v>2.06</v>
      </c>
      <c r="E40" s="26"/>
      <c r="H40" s="75"/>
    </row>
    <row r="41" spans="1:8" x14ac:dyDescent="0.25">
      <c r="D41" s="195">
        <f>+D40*D39</f>
        <v>3120.9</v>
      </c>
      <c r="F41" s="247"/>
      <c r="H41" s="195"/>
    </row>
    <row r="42" spans="1:8" x14ac:dyDescent="0.25">
      <c r="A42" s="57">
        <v>37287</v>
      </c>
      <c r="D42" s="552">
        <v>28675</v>
      </c>
      <c r="E42" s="57"/>
      <c r="H42" s="195"/>
    </row>
    <row r="43" spans="1:8" x14ac:dyDescent="0.25">
      <c r="A43" s="57">
        <v>37290</v>
      </c>
      <c r="D43" s="196">
        <f>+D42+D41</f>
        <v>31795.9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37287</v>
      </c>
      <c r="B48" s="32"/>
      <c r="C48" s="32"/>
      <c r="D48" s="523">
        <v>-42160</v>
      </c>
    </row>
    <row r="49" spans="1:4" x14ac:dyDescent="0.25">
      <c r="A49" s="49">
        <f>+A43</f>
        <v>37290</v>
      </c>
      <c r="B49" s="32"/>
      <c r="C49" s="32"/>
      <c r="D49" s="350">
        <f>+D39</f>
        <v>1515</v>
      </c>
    </row>
    <row r="50" spans="1:4" x14ac:dyDescent="0.25">
      <c r="A50" s="32"/>
      <c r="B50" s="32"/>
      <c r="C50" s="32"/>
      <c r="D50" s="14">
        <f>+D49+D48</f>
        <v>-40645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workbookViewId="0">
      <selection activeCell="D46" sqref="D46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37287</v>
      </c>
      <c r="C5" s="545">
        <v>1508753.99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251</v>
      </c>
      <c r="J6" s="15"/>
    </row>
    <row r="7" spans="1:14" x14ac:dyDescent="0.25">
      <c r="A7" s="57">
        <v>37287</v>
      </c>
      <c r="I7" s="3" t="s">
        <v>258</v>
      </c>
      <c r="J7" s="15"/>
    </row>
    <row r="8" spans="1:14" x14ac:dyDescent="0.25">
      <c r="A8" s="248">
        <v>50895</v>
      </c>
      <c r="B8" s="340"/>
      <c r="J8" s="15"/>
    </row>
    <row r="9" spans="1:14" x14ac:dyDescent="0.25">
      <c r="A9" s="248">
        <v>60874</v>
      </c>
      <c r="B9" s="340"/>
      <c r="J9" s="15"/>
    </row>
    <row r="10" spans="1:14" x14ac:dyDescent="0.25">
      <c r="A10" s="248">
        <v>78169</v>
      </c>
      <c r="B10" s="340"/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3">
        <f>+C40</f>
        <v>855876.1</v>
      </c>
      <c r="K11" s="87" t="s">
        <v>254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/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/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/>
      <c r="I15" s="87"/>
      <c r="J15" s="446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/>
      <c r="I16" s="87"/>
      <c r="J16" s="446"/>
      <c r="K16" s="87"/>
      <c r="L16" s="87"/>
      <c r="M16" s="87"/>
      <c r="N16" s="87"/>
    </row>
    <row r="17" spans="1:14" x14ac:dyDescent="0.25">
      <c r="A17" s="280">
        <v>500267</v>
      </c>
      <c r="B17" s="341"/>
      <c r="I17" s="87"/>
      <c r="J17" s="446"/>
      <c r="K17" s="87"/>
      <c r="L17" s="87"/>
      <c r="M17" s="87"/>
      <c r="N17" s="87"/>
    </row>
    <row r="18" spans="1:14" x14ac:dyDescent="0.25">
      <c r="B18" s="14">
        <f>SUM(B8:B17)</f>
        <v>0</v>
      </c>
      <c r="I18" s="87"/>
      <c r="J18" s="446"/>
      <c r="K18" s="87"/>
      <c r="L18" s="87"/>
      <c r="M18" s="87"/>
      <c r="N18" s="87"/>
    </row>
    <row r="19" spans="1:14" x14ac:dyDescent="0.25">
      <c r="B19" s="15">
        <f>+summary!G5</f>
        <v>2.06</v>
      </c>
      <c r="C19" s="199">
        <f>+B19*B18</f>
        <v>0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5">
      <c r="C20" s="321">
        <f>+C19+C5</f>
        <v>1508753.99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5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5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5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5">
      <c r="G24" s="32"/>
      <c r="H24" s="380"/>
      <c r="I24" s="327"/>
      <c r="J24" s="446"/>
      <c r="K24" s="87"/>
      <c r="L24" s="87"/>
      <c r="M24" s="87"/>
      <c r="N24" s="87"/>
    </row>
    <row r="25" spans="1:14" x14ac:dyDescent="0.25">
      <c r="G25" s="32"/>
      <c r="H25" s="380"/>
      <c r="I25" s="327"/>
      <c r="J25" s="446"/>
      <c r="K25" s="87"/>
      <c r="L25" s="87"/>
      <c r="M25" s="87"/>
      <c r="N25" s="87"/>
    </row>
    <row r="26" spans="1:14" x14ac:dyDescent="0.25">
      <c r="A26" s="198">
        <v>37287</v>
      </c>
      <c r="C26" s="545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5">
      <c r="A28" s="57">
        <v>37287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5">
      <c r="B32" s="15">
        <f>+summary!G4</f>
        <v>2.06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5">
      <c r="A38" s="32" t="s">
        <v>74</v>
      </c>
      <c r="E38" s="49">
        <f>+A5</f>
        <v>37287</v>
      </c>
      <c r="F38" s="523">
        <v>367789</v>
      </c>
      <c r="G38" s="537">
        <v>117857</v>
      </c>
      <c r="H38" s="523">
        <v>193435</v>
      </c>
      <c r="I38" s="14"/>
    </row>
    <row r="39" spans="1:9" x14ac:dyDescent="0.25">
      <c r="E39" s="49">
        <f>+A7</f>
        <v>37287</v>
      </c>
      <c r="F39" s="350">
        <f>+B18</f>
        <v>0</v>
      </c>
      <c r="G39" s="350">
        <f>+B31</f>
        <v>0</v>
      </c>
      <c r="H39" s="350">
        <f>+B46</f>
        <v>0</v>
      </c>
      <c r="I39" s="14"/>
    </row>
    <row r="40" spans="1:9" x14ac:dyDescent="0.25">
      <c r="A40" s="49">
        <v>37287</v>
      </c>
      <c r="C40" s="545">
        <v>855876.1</v>
      </c>
      <c r="F40" s="14">
        <f>+F39+F38</f>
        <v>367789</v>
      </c>
      <c r="G40" s="14">
        <f>+G39+G38</f>
        <v>117857</v>
      </c>
      <c r="H40" s="14">
        <f>+H39+H38</f>
        <v>193435</v>
      </c>
      <c r="I40" s="14">
        <f>+H40+G40+F40</f>
        <v>679081</v>
      </c>
    </row>
    <row r="41" spans="1:9" x14ac:dyDescent="0.25">
      <c r="G41" s="32"/>
      <c r="H41" s="15"/>
      <c r="I41" s="32"/>
    </row>
    <row r="42" spans="1:9" x14ac:dyDescent="0.25">
      <c r="A42" s="245">
        <v>37287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/>
      <c r="G44" s="32"/>
      <c r="H44" s="381"/>
      <c r="I44" s="14"/>
    </row>
    <row r="45" spans="1:9" x14ac:dyDescent="0.25">
      <c r="A45" s="32">
        <v>500392</v>
      </c>
      <c r="B45" s="250"/>
      <c r="G45" s="32"/>
      <c r="H45" s="381"/>
      <c r="I45" s="14"/>
    </row>
    <row r="46" spans="1:9" x14ac:dyDescent="0.25">
      <c r="B46" s="14">
        <f>SUM(B43:B45)</f>
        <v>0</v>
      </c>
      <c r="G46" s="32"/>
      <c r="H46" s="381"/>
      <c r="I46" s="14"/>
    </row>
    <row r="47" spans="1:9" x14ac:dyDescent="0.25">
      <c r="B47" s="199">
        <f>+summary!G5</f>
        <v>2.06</v>
      </c>
      <c r="C47" s="199">
        <f>+B47*B46</f>
        <v>0</v>
      </c>
      <c r="H47" s="381"/>
      <c r="I47" s="14"/>
    </row>
    <row r="48" spans="1:9" x14ac:dyDescent="0.25">
      <c r="C48" s="321">
        <f>+C47+C40</f>
        <v>855876.1</v>
      </c>
      <c r="E48" s="204"/>
      <c r="H48" s="381"/>
      <c r="I48" s="14"/>
    </row>
    <row r="49" spans="1:9" x14ac:dyDescent="0.25">
      <c r="E49" s="213"/>
      <c r="H49" s="381"/>
      <c r="I49" s="14"/>
    </row>
    <row r="50" spans="1:9" x14ac:dyDescent="0.25">
      <c r="E50" s="204"/>
      <c r="H50" s="381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546">
        <v>73445.08</v>
      </c>
      <c r="D53" s="32" t="s">
        <v>119</v>
      </c>
      <c r="E53" s="50"/>
      <c r="H53" s="381">
        <v>21665</v>
      </c>
      <c r="I53" s="537">
        <v>36401</v>
      </c>
    </row>
    <row r="54" spans="1:9" x14ac:dyDescent="0.25">
      <c r="A54" s="32">
        <v>22664</v>
      </c>
      <c r="B54" s="15" t="s">
        <v>137</v>
      </c>
      <c r="C54" s="547">
        <v>23612.35</v>
      </c>
      <c r="D54" s="32" t="s">
        <v>120</v>
      </c>
      <c r="H54" s="381">
        <v>22664</v>
      </c>
      <c r="I54" s="548">
        <v>18932</v>
      </c>
    </row>
    <row r="55" spans="1:9" x14ac:dyDescent="0.25">
      <c r="H55" s="382"/>
      <c r="I55" s="16"/>
    </row>
    <row r="56" spans="1:9" x14ac:dyDescent="0.25">
      <c r="C56" s="421"/>
    </row>
    <row r="57" spans="1:9" x14ac:dyDescent="0.25">
      <c r="C57" s="315">
        <f>+C54+C53+C48+C33+C20</f>
        <v>2737001.24</v>
      </c>
      <c r="I57" s="14">
        <f>SUM(I40:I54)</f>
        <v>734414</v>
      </c>
    </row>
    <row r="61" spans="1:9" x14ac:dyDescent="0.25">
      <c r="C61" s="15">
        <f>+DEFS!F49</f>
        <v>-2824442.71</v>
      </c>
    </row>
    <row r="62" spans="1:9" x14ac:dyDescent="0.25">
      <c r="C62" s="15">
        <f>+C61+C57</f>
        <v>-87441.469999999739</v>
      </c>
      <c r="I62" s="31">
        <f>+I57+DEFS!K49</f>
        <v>286961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B27" sqref="B27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5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5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5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23">
        <v>-183967</v>
      </c>
      <c r="J34" s="523">
        <v>-149841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103881</v>
      </c>
      <c r="E35" s="11">
        <f>SUM(E4:E34)</f>
        <v>101958</v>
      </c>
      <c r="F35" s="11">
        <f>SUM(F4:F34)</f>
        <v>-1923</v>
      </c>
      <c r="G35" s="11"/>
      <c r="H35" s="49">
        <f>+A40</f>
        <v>37290</v>
      </c>
      <c r="I35" s="350">
        <f>+C36</f>
        <v>0</v>
      </c>
      <c r="J35" s="350">
        <f>+E36</f>
        <v>-1923</v>
      </c>
      <c r="K35" s="206"/>
      <c r="L35" s="14"/>
    </row>
    <row r="36" spans="1:13" x14ac:dyDescent="0.25">
      <c r="C36" s="25">
        <f>+C35-B35</f>
        <v>0</v>
      </c>
      <c r="E36" s="25">
        <f>+E35-D35</f>
        <v>-1923</v>
      </c>
      <c r="F36" s="25">
        <f>+E36+C36</f>
        <v>-1923</v>
      </c>
      <c r="H36" s="32"/>
      <c r="I36" s="14">
        <f>+I35+I34</f>
        <v>-183967</v>
      </c>
      <c r="J36" s="14">
        <f>+J35+J34</f>
        <v>-151764</v>
      </c>
      <c r="K36" s="14">
        <f>+J36+I36</f>
        <v>-335731</v>
      </c>
      <c r="L36" s="14"/>
    </row>
    <row r="37" spans="1:13" x14ac:dyDescent="0.25">
      <c r="C37" s="313">
        <f>+summary!G5</f>
        <v>2.06</v>
      </c>
      <c r="E37" s="104">
        <f>+C37</f>
        <v>2.06</v>
      </c>
      <c r="F37" s="138">
        <f>+F36*E37</f>
        <v>-3961.38</v>
      </c>
    </row>
    <row r="38" spans="1:13" x14ac:dyDescent="0.25">
      <c r="C38" s="138">
        <f>+C37*C36</f>
        <v>0</v>
      </c>
      <c r="E38" s="136">
        <f>+E37*E36</f>
        <v>-3961.38</v>
      </c>
      <c r="F38" s="138">
        <f>+E38+C38</f>
        <v>-3961.38</v>
      </c>
    </row>
    <row r="39" spans="1:13" x14ac:dyDescent="0.25">
      <c r="A39" s="57">
        <v>37287</v>
      </c>
      <c r="B39" s="2" t="s">
        <v>45</v>
      </c>
      <c r="C39" s="544">
        <v>-1035395</v>
      </c>
      <c r="D39" s="320"/>
      <c r="E39" s="533">
        <v>-616250</v>
      </c>
      <c r="F39" s="319">
        <f>+E39+C39</f>
        <v>-1651645</v>
      </c>
    </row>
    <row r="40" spans="1:13" x14ac:dyDescent="0.25">
      <c r="A40" s="57">
        <v>37290</v>
      </c>
      <c r="B40" s="2" t="s">
        <v>45</v>
      </c>
      <c r="C40" s="314">
        <f>+C39+C38</f>
        <v>-1035395</v>
      </c>
      <c r="D40" s="252"/>
      <c r="E40" s="314">
        <f>+E39+E38</f>
        <v>-620211.38</v>
      </c>
      <c r="F40" s="314">
        <f>+E40+C40</f>
        <v>-1655606.38</v>
      </c>
      <c r="H40" s="131"/>
    </row>
    <row r="41" spans="1:13" x14ac:dyDescent="0.25">
      <c r="C41" s="329"/>
      <c r="D41" s="246"/>
      <c r="E41" s="246"/>
      <c r="H41" s="31">
        <f>+C39+E39+F45+F46+F47+F48</f>
        <v>-2820481.33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</row>
    <row r="44" spans="1:13" x14ac:dyDescent="0.25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5">
      <c r="C45" s="246"/>
      <c r="D45" s="246"/>
      <c r="E45" s="12">
        <v>20379</v>
      </c>
      <c r="F45" s="545">
        <v>-51695.87</v>
      </c>
      <c r="G45" s="249" t="s">
        <v>122</v>
      </c>
      <c r="J45" s="12">
        <v>20379</v>
      </c>
      <c r="K45" s="537">
        <v>2979</v>
      </c>
      <c r="M45" s="14"/>
    </row>
    <row r="46" spans="1:13" x14ac:dyDescent="0.25">
      <c r="C46" s="246"/>
      <c r="D46" s="246"/>
      <c r="E46" s="12">
        <v>26357</v>
      </c>
      <c r="F46" s="542">
        <f>44144.84-58339.66</f>
        <v>-14194.820000000007</v>
      </c>
      <c r="G46" s="249" t="s">
        <v>123</v>
      </c>
      <c r="J46" s="12">
        <v>26357</v>
      </c>
      <c r="K46" s="537">
        <f>26521-24566</f>
        <v>1955</v>
      </c>
    </row>
    <row r="47" spans="1:13" x14ac:dyDescent="0.25">
      <c r="C47" s="246"/>
      <c r="D47" s="246"/>
      <c r="E47" s="12">
        <v>21544</v>
      </c>
      <c r="F47" s="545">
        <v>61340.160000000003</v>
      </c>
      <c r="G47" s="249" t="s">
        <v>124</v>
      </c>
      <c r="J47" s="12">
        <v>21544</v>
      </c>
      <c r="K47" s="537">
        <v>36108</v>
      </c>
    </row>
    <row r="48" spans="1:13" x14ac:dyDescent="0.25">
      <c r="C48" s="246"/>
      <c r="D48" s="246"/>
      <c r="E48" s="12">
        <v>24532</v>
      </c>
      <c r="F48" s="543">
        <v>-1164285.8</v>
      </c>
      <c r="G48" s="249" t="s">
        <v>121</v>
      </c>
      <c r="J48" s="12">
        <v>24532</v>
      </c>
      <c r="K48" s="523">
        <v>-152764</v>
      </c>
    </row>
    <row r="49" spans="3:13" x14ac:dyDescent="0.25">
      <c r="C49" s="246"/>
      <c r="D49" s="246"/>
      <c r="F49" s="330">
        <f>SUM(F40:F48)</f>
        <v>-2824442.71</v>
      </c>
      <c r="G49" s="246"/>
      <c r="K49" s="14">
        <f>SUM(K36:K48)</f>
        <v>-447453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2737001.24</v>
      </c>
      <c r="M51" s="14">
        <f>+Duke!I57</f>
        <v>734414</v>
      </c>
    </row>
    <row r="53" spans="3:13" x14ac:dyDescent="0.25">
      <c r="F53" s="104">
        <f>+F51+F49</f>
        <v>-87441.469999999739</v>
      </c>
      <c r="M53" s="16">
        <f>+M51+K49</f>
        <v>286961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5"/>
    </row>
    <row r="63" spans="3:13" x14ac:dyDescent="0.25">
      <c r="F63" s="345"/>
    </row>
    <row r="64" spans="3:13" x14ac:dyDescent="0.25">
      <c r="F64" s="345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-152764</v>
      </c>
      <c r="C69" s="247">
        <f>+F48</f>
        <v>-1164285.8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-183967</v>
      </c>
      <c r="C73" s="247">
        <f>+C40</f>
        <v>-1035395</v>
      </c>
    </row>
    <row r="74" spans="1:3" x14ac:dyDescent="0.25">
      <c r="A74">
        <v>22051</v>
      </c>
      <c r="B74" s="31">
        <f>+J36</f>
        <v>-151764</v>
      </c>
      <c r="C74" s="247">
        <f>+E40</f>
        <v>-620211.38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193435</v>
      </c>
      <c r="C77" s="259">
        <f>+Duke!C48</f>
        <v>855876.1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367789</v>
      </c>
      <c r="C79" s="259">
        <f>+Duke!C20</f>
        <v>1508753.99</v>
      </c>
    </row>
    <row r="81" spans="2:3" x14ac:dyDescent="0.25">
      <c r="B81" s="31">
        <f>SUM(B68:B80)</f>
        <v>286961</v>
      </c>
      <c r="C81" s="259">
        <f>SUM(C68:C80)</f>
        <v>-87441.469999999739</v>
      </c>
    </row>
    <row r="82" spans="2:3" x14ac:dyDescent="0.25">
      <c r="C82">
        <f>+C81/B81</f>
        <v>-0.30471551883356879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D42" sqref="D42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4808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1328</v>
      </c>
      <c r="I8" s="11">
        <v>895</v>
      </c>
      <c r="J8" s="25">
        <f>+C8-B8+E8-D8+G8-F8+I8-H8</f>
        <v>27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5822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1383</v>
      </c>
      <c r="I9" s="11">
        <v>895</v>
      </c>
      <c r="J9" s="25">
        <f t="shared" ref="J9:J38" si="0">+C9-B9+E9-D9+G9-F9+I9-H9</f>
        <v>-1092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5725</v>
      </c>
      <c r="C10" s="11">
        <v>5511</v>
      </c>
      <c r="D10" s="11">
        <v>10</v>
      </c>
      <c r="E10" s="11">
        <v>6</v>
      </c>
      <c r="F10" s="129">
        <v>926</v>
      </c>
      <c r="G10" s="11">
        <v>581</v>
      </c>
      <c r="H10" s="11">
        <v>1440</v>
      </c>
      <c r="I10" s="11">
        <v>895</v>
      </c>
      <c r="J10" s="25">
        <f t="shared" si="0"/>
        <v>-1108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/>
      <c r="C11" s="11"/>
      <c r="D11" s="11"/>
      <c r="E11" s="11"/>
      <c r="F11" s="129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/>
      <c r="C12" s="11"/>
      <c r="D12" s="11"/>
      <c r="E12" s="11"/>
      <c r="F12" s="129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16355</v>
      </c>
      <c r="C39" s="11">
        <f t="shared" si="1"/>
        <v>16533</v>
      </c>
      <c r="D39" s="11">
        <f t="shared" si="1"/>
        <v>35</v>
      </c>
      <c r="E39" s="11">
        <f t="shared" si="1"/>
        <v>18</v>
      </c>
      <c r="F39" s="129">
        <f t="shared" si="1"/>
        <v>2611</v>
      </c>
      <c r="G39" s="11">
        <f t="shared" si="1"/>
        <v>1743</v>
      </c>
      <c r="H39" s="11">
        <f t="shared" si="1"/>
        <v>4151</v>
      </c>
      <c r="I39" s="11">
        <f t="shared" si="1"/>
        <v>2685</v>
      </c>
      <c r="J39" s="25">
        <f t="shared" si="1"/>
        <v>-2173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2.06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-4476.38</v>
      </c>
      <c r="L41"/>
      <c r="R41" s="138"/>
      <c r="X41" s="138"/>
    </row>
    <row r="42" spans="1:24" x14ac:dyDescent="0.25">
      <c r="A42" s="57">
        <v>37287</v>
      </c>
      <c r="C42" s="15"/>
      <c r="J42" s="528">
        <v>343385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37290</v>
      </c>
      <c r="C43" s="48"/>
      <c r="J43" s="138">
        <f>+J42+J41</f>
        <v>338908.62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37287</v>
      </c>
      <c r="B47" s="32"/>
      <c r="C47" s="32"/>
      <c r="D47" s="523">
        <v>136432</v>
      </c>
      <c r="L47"/>
    </row>
    <row r="48" spans="1:24" x14ac:dyDescent="0.25">
      <c r="A48" s="49">
        <f>+A43</f>
        <v>37290</v>
      </c>
      <c r="B48" s="32"/>
      <c r="C48" s="32"/>
      <c r="D48" s="350">
        <f>+J39</f>
        <v>-2173</v>
      </c>
      <c r="L48"/>
    </row>
    <row r="49" spans="1:12" x14ac:dyDescent="0.25">
      <c r="A49" s="32"/>
      <c r="B49" s="32"/>
      <c r="C49" s="32"/>
      <c r="D49" s="14">
        <f>+D48+D47</f>
        <v>134259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6" workbookViewId="0">
      <selection activeCell="D11" sqref="D11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0">
        <v>1</v>
      </c>
      <c r="B8" s="411"/>
      <c r="C8" s="411"/>
      <c r="D8" s="411">
        <v>-218</v>
      </c>
      <c r="E8" s="411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0">
        <v>2</v>
      </c>
      <c r="B9" s="411"/>
      <c r="C9" s="411"/>
      <c r="D9" s="411">
        <v>-105</v>
      </c>
      <c r="E9" s="411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0">
        <v>3</v>
      </c>
      <c r="B10" s="411"/>
      <c r="C10" s="411"/>
      <c r="D10" s="411">
        <v>-154</v>
      </c>
      <c r="E10" s="411"/>
      <c r="F10" s="307">
        <f t="shared" si="0"/>
        <v>154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0">
        <v>4</v>
      </c>
      <c r="B11" s="411"/>
      <c r="C11" s="411"/>
      <c r="D11" s="411"/>
      <c r="E11" s="411"/>
      <c r="F11" s="307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0">
        <v>8</v>
      </c>
      <c r="B15" s="411"/>
      <c r="C15" s="411"/>
      <c r="D15" s="411"/>
      <c r="E15" s="411"/>
      <c r="F15" s="30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0">
        <v>18</v>
      </c>
      <c r="B25" s="411"/>
      <c r="C25" s="411"/>
      <c r="D25" s="411"/>
      <c r="E25" s="411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0"/>
      <c r="B39" s="411">
        <f>SUM(B8:B38)</f>
        <v>0</v>
      </c>
      <c r="C39" s="411">
        <f>SUM(C8:C38)</f>
        <v>0</v>
      </c>
      <c r="D39" s="411">
        <f>SUM(D8:D38)</f>
        <v>-477</v>
      </c>
      <c r="E39" s="411">
        <f>SUM(E8:E38)</f>
        <v>0</v>
      </c>
      <c r="F39" s="411">
        <f>SUM(F8:F38)</f>
        <v>477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1"/>
      <c r="B40" s="285"/>
      <c r="C40" s="432"/>
      <c r="D40" s="432"/>
      <c r="E40" s="432"/>
      <c r="F40" s="433">
        <f>+summary!G4</f>
        <v>2.06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4">
        <f>+F40*F39</f>
        <v>982.62</v>
      </c>
      <c r="J41" s="138"/>
      <c r="N41" s="138"/>
      <c r="R41" s="138"/>
      <c r="V41" s="138"/>
      <c r="Z41" s="138"/>
    </row>
    <row r="42" spans="1:26" ht="15" customHeight="1" x14ac:dyDescent="0.25">
      <c r="A42" s="56">
        <v>37287</v>
      </c>
      <c r="B42" s="285"/>
      <c r="C42" s="435"/>
      <c r="D42" s="435"/>
      <c r="E42" s="435"/>
      <c r="F42" s="525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37290</v>
      </c>
      <c r="B43" s="285"/>
      <c r="C43" s="436"/>
      <c r="D43" s="436"/>
      <c r="E43" s="436"/>
      <c r="F43" s="417">
        <f>+F42+F41</f>
        <v>153217.25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37287</v>
      </c>
      <c r="B47" s="32"/>
      <c r="C47" s="32"/>
      <c r="D47" s="523">
        <v>-368359</v>
      </c>
      <c r="E47" s="11"/>
    </row>
    <row r="48" spans="1:26" x14ac:dyDescent="0.25">
      <c r="A48" s="49">
        <f>+A43</f>
        <v>37290</v>
      </c>
      <c r="B48" s="32"/>
      <c r="C48" s="32"/>
      <c r="D48" s="350">
        <f>+F39</f>
        <v>477</v>
      </c>
      <c r="E48" s="11"/>
    </row>
    <row r="49" spans="1:5" x14ac:dyDescent="0.25">
      <c r="A49" s="32"/>
      <c r="B49" s="32"/>
      <c r="C49" s="32"/>
      <c r="D49" s="14">
        <f>+D48+D47</f>
        <v>-367882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9"/>
  <sheetViews>
    <sheetView tabSelected="1" topLeftCell="A37" workbookViewId="0">
      <selection activeCell="D47" sqref="D47"/>
    </sheetView>
  </sheetViews>
  <sheetFormatPr defaultColWidth="9.109375" defaultRowHeight="13.2" x14ac:dyDescent="0.25"/>
  <cols>
    <col min="1" max="1" width="25.88671875" style="285" customWidth="1"/>
    <col min="2" max="2" width="11.109375" style="581" bestFit="1" customWidth="1"/>
    <col min="3" max="3" width="9.6640625" style="582" customWidth="1"/>
    <col min="4" max="4" width="5.109375" style="583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85" bestFit="1" customWidth="1"/>
    <col min="15" max="15" width="9" style="586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3" t="s">
        <v>78</v>
      </c>
      <c r="G2" s="584"/>
    </row>
    <row r="3" spans="1:33" ht="15" customHeight="1" x14ac:dyDescent="0.25">
      <c r="F3" s="587" t="s">
        <v>29</v>
      </c>
      <c r="G3" s="588">
        <f>+'[3]1001'!$K$39</f>
        <v>2.06</v>
      </c>
      <c r="J3" s="374">
        <f ca="1">NOW()</f>
        <v>37292.517566319446</v>
      </c>
    </row>
    <row r="4" spans="1:33" ht="15" customHeight="1" x14ac:dyDescent="0.25">
      <c r="A4" s="34" t="s">
        <v>145</v>
      </c>
      <c r="C4" s="34" t="s">
        <v>5</v>
      </c>
      <c r="F4" s="589" t="s">
        <v>30</v>
      </c>
      <c r="G4" s="590">
        <f>+'[3]1001'!$M$39</f>
        <v>2.06</v>
      </c>
    </row>
    <row r="5" spans="1:33" ht="15" customHeight="1" x14ac:dyDescent="0.25">
      <c r="B5" s="591"/>
      <c r="F5" s="587" t="s">
        <v>117</v>
      </c>
      <c r="G5" s="588">
        <f>+'[3]1001'!$H$39</f>
        <v>2.06</v>
      </c>
    </row>
    <row r="6" spans="1:33" ht="12" customHeight="1" x14ac:dyDescent="0.25">
      <c r="C6" s="440"/>
    </row>
    <row r="7" spans="1:33" ht="15" customHeight="1" x14ac:dyDescent="0.25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301</v>
      </c>
      <c r="G7" s="338" t="s">
        <v>101</v>
      </c>
      <c r="H7" s="335" t="s">
        <v>98</v>
      </c>
    </row>
    <row r="8" spans="1:33" ht="15" customHeight="1" x14ac:dyDescent="0.25">
      <c r="A8" s="204" t="s">
        <v>249</v>
      </c>
      <c r="B8" s="346">
        <f>+Duke!$C$20</f>
        <v>1508753.99</v>
      </c>
      <c r="C8" s="206">
        <f>+B8/$G$5</f>
        <v>732404.8495145631</v>
      </c>
      <c r="D8" s="364">
        <f>+Duke!A7</f>
        <v>37287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204" t="s">
        <v>256</v>
      </c>
      <c r="B9" s="346">
        <f>+Duke!$C$54+Duke!$C$53+Duke!$C$48+Duke!$C$33</f>
        <v>1228247.25</v>
      </c>
      <c r="C9" s="206">
        <f>+B9/$G$5</f>
        <v>596236.52912621363</v>
      </c>
      <c r="D9" s="364">
        <f>+DEFS!A40</f>
        <v>37290</v>
      </c>
      <c r="E9" s="204" t="s">
        <v>85</v>
      </c>
      <c r="F9" s="204" t="s">
        <v>153</v>
      </c>
      <c r="G9" s="204" t="s">
        <v>100</v>
      </c>
      <c r="H9" s="204" t="s">
        <v>311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82</v>
      </c>
      <c r="B10" s="346">
        <f>+PNM!$D$23</f>
        <v>825054.8600000001</v>
      </c>
      <c r="C10" s="275">
        <f>+B10/$G$4</f>
        <v>400512.0679611651</v>
      </c>
      <c r="D10" s="365">
        <f>+PNM!A23</f>
        <v>37290</v>
      </c>
      <c r="E10" s="32" t="s">
        <v>85</v>
      </c>
      <c r="F10" s="32" t="s">
        <v>302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80</v>
      </c>
      <c r="B11" s="346">
        <f>+Conoco!$F$41</f>
        <v>438875.21</v>
      </c>
      <c r="C11" s="275">
        <f>+B11/$G$4</f>
        <v>213046.21844660194</v>
      </c>
      <c r="D11" s="364">
        <f>+Conoco!A41</f>
        <v>37290</v>
      </c>
      <c r="E11" s="32" t="s">
        <v>85</v>
      </c>
      <c r="F11" s="32" t="s">
        <v>303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94</v>
      </c>
      <c r="B12" s="346">
        <f>+C12*$G$4</f>
        <v>370427.14</v>
      </c>
      <c r="C12" s="275">
        <f>+Mojave!D40</f>
        <v>179819</v>
      </c>
      <c r="D12" s="365">
        <f>+Mojave!A40</f>
        <v>37290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5">
      <c r="A13" s="32" t="s">
        <v>2</v>
      </c>
      <c r="B13" s="346">
        <f>+mewborne!$J$43</f>
        <v>338908.62</v>
      </c>
      <c r="C13" s="275">
        <f>+B13/$G$4</f>
        <v>164518.74757281554</v>
      </c>
      <c r="D13" s="365">
        <f>+mewborne!A43</f>
        <v>37290</v>
      </c>
      <c r="E13" s="32" t="s">
        <v>85</v>
      </c>
      <c r="F13" s="32" t="s">
        <v>302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5">
      <c r="A14" s="32" t="s">
        <v>107</v>
      </c>
      <c r="B14" s="346">
        <f>+KN_Westar!F41</f>
        <v>295806.83</v>
      </c>
      <c r="C14" s="275">
        <f>+B14/$G$4</f>
        <v>143595.54854368934</v>
      </c>
      <c r="D14" s="365">
        <f>+KN_Westar!A41</f>
        <v>37287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88</v>
      </c>
      <c r="B15" s="346">
        <f>+C15*$G$5</f>
        <v>276068.84000000003</v>
      </c>
      <c r="C15" s="275">
        <f>+NGPL!F38</f>
        <v>134014</v>
      </c>
      <c r="D15" s="365">
        <f>+NGPL!A38</f>
        <v>37290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+B8+B9+B43</f>
        <v>-87441.469999999739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32" t="s">
        <v>31</v>
      </c>
      <c r="B16" s="346">
        <f>+C16*$G$5</f>
        <v>217333.50200000001</v>
      </c>
      <c r="C16" s="275">
        <f>+Lonestar!F43</f>
        <v>105501.7</v>
      </c>
      <c r="D16" s="364">
        <f>+Lonestar!A43</f>
        <v>37290</v>
      </c>
      <c r="E16" s="32" t="s">
        <v>84</v>
      </c>
      <c r="F16" s="32" t="s">
        <v>303</v>
      </c>
      <c r="G16" s="32" t="s">
        <v>102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443" t="s">
        <v>79</v>
      </c>
      <c r="B17" s="509">
        <f>+Agave!$D$24</f>
        <v>196204.49</v>
      </c>
      <c r="C17" s="464">
        <f>+B17/$G$4</f>
        <v>95244.898058252424</v>
      </c>
      <c r="D17" s="463">
        <f>+Agave!A24</f>
        <v>37290</v>
      </c>
      <c r="E17" s="443" t="s">
        <v>85</v>
      </c>
      <c r="F17" s="443" t="s">
        <v>303</v>
      </c>
      <c r="G17" s="443" t="s">
        <v>102</v>
      </c>
      <c r="H17" s="443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32" t="s">
        <v>207</v>
      </c>
      <c r="B18" s="346">
        <f>+Dominion!D41</f>
        <v>174270.36</v>
      </c>
      <c r="C18" s="275">
        <f>+B18/$G$5</f>
        <v>84597.262135922327</v>
      </c>
      <c r="D18" s="365">
        <f>+Dominion!A41</f>
        <v>37290</v>
      </c>
      <c r="E18" s="32" t="s">
        <v>85</v>
      </c>
      <c r="F18" s="32" t="s">
        <v>302</v>
      </c>
      <c r="G18" s="32" t="s">
        <v>99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204" t="s">
        <v>32</v>
      </c>
      <c r="B19" s="346">
        <f>+C19*$G$4</f>
        <v>171396.12</v>
      </c>
      <c r="C19" s="206">
        <f>+SoCal!F40</f>
        <v>83202</v>
      </c>
      <c r="D19" s="364">
        <f>+SoCal!A40</f>
        <v>37290</v>
      </c>
      <c r="E19" s="204" t="s">
        <v>84</v>
      </c>
      <c r="F19" s="204" t="s">
        <v>153</v>
      </c>
      <c r="G19" s="204" t="s">
        <v>102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32" t="s">
        <v>3</v>
      </c>
      <c r="B20" s="346">
        <f>+'Amoco Abo'!$F$43</f>
        <v>153217.25</v>
      </c>
      <c r="C20" s="275">
        <f>+B20/$G$4</f>
        <v>74377.305825242714</v>
      </c>
      <c r="D20" s="365">
        <f>+'Amoco Abo'!A43</f>
        <v>37290</v>
      </c>
      <c r="E20" s="32" t="s">
        <v>85</v>
      </c>
      <c r="F20" s="32" t="s">
        <v>153</v>
      </c>
      <c r="G20" s="32" t="s">
        <v>115</v>
      </c>
      <c r="H20" s="32"/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5">
      <c r="A21" s="32" t="s">
        <v>210</v>
      </c>
      <c r="B21" s="346">
        <f>+Devon!D41</f>
        <v>138899.48000000001</v>
      </c>
      <c r="C21" s="275">
        <f>+B21/$G$5</f>
        <v>67426.932038834959</v>
      </c>
      <c r="D21" s="365">
        <f>+Devon!A41</f>
        <v>37290</v>
      </c>
      <c r="E21" s="32" t="s">
        <v>85</v>
      </c>
      <c r="F21" s="32" t="s">
        <v>303</v>
      </c>
      <c r="G21" s="32" t="s">
        <v>99</v>
      </c>
      <c r="H21" s="32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32" t="s">
        <v>129</v>
      </c>
      <c r="B22" s="346">
        <f>+EPFS!D41</f>
        <v>120295.2</v>
      </c>
      <c r="C22" s="206">
        <f>+B22/$G$5</f>
        <v>58395.728155339806</v>
      </c>
      <c r="D22" s="364">
        <f>+EPFS!A41</f>
        <v>37290</v>
      </c>
      <c r="E22" s="32" t="s">
        <v>85</v>
      </c>
      <c r="F22" s="32" t="s">
        <v>154</v>
      </c>
      <c r="G22" s="32" t="s">
        <v>102</v>
      </c>
      <c r="H22" s="32"/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204" t="s">
        <v>309</v>
      </c>
      <c r="B23" s="346">
        <f>+Plains!$N$43</f>
        <v>107948.28</v>
      </c>
      <c r="C23" s="206">
        <f>+B23/$G$4</f>
        <v>52402.077669902908</v>
      </c>
      <c r="D23" s="364">
        <f>+Plains!A43</f>
        <v>37256</v>
      </c>
      <c r="E23" s="204" t="s">
        <v>85</v>
      </c>
      <c r="F23" s="204"/>
      <c r="G23" s="204" t="s">
        <v>100</v>
      </c>
      <c r="H23" s="204" t="s">
        <v>310</v>
      </c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" customHeight="1" x14ac:dyDescent="0.25">
      <c r="A24" s="32" t="s">
        <v>218</v>
      </c>
      <c r="B24" s="346">
        <f>+Amarillo!P41</f>
        <v>93080.3</v>
      </c>
      <c r="C24" s="275">
        <f>+B24/$G$4</f>
        <v>45184.611650485436</v>
      </c>
      <c r="D24" s="365">
        <f>+Amarillo!A41</f>
        <v>37290</v>
      </c>
      <c r="E24" s="32" t="s">
        <v>85</v>
      </c>
      <c r="F24" s="32" t="s">
        <v>303</v>
      </c>
      <c r="G24" s="32" t="s">
        <v>113</v>
      </c>
      <c r="H24" s="32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5">
      <c r="A25" s="204" t="s">
        <v>33</v>
      </c>
      <c r="B25" s="346">
        <f>+'El Paso'!C39*summary!G4+'El Paso'!E39*summary!G3</f>
        <v>86260.44</v>
      </c>
      <c r="C25" s="275">
        <f>+'El Paso'!H39</f>
        <v>41874</v>
      </c>
      <c r="D25" s="364">
        <f>+'El Paso'!A39</f>
        <v>37290</v>
      </c>
      <c r="E25" s="204" t="s">
        <v>84</v>
      </c>
      <c r="F25" s="204" t="s">
        <v>154</v>
      </c>
      <c r="G25" s="204" t="s">
        <v>100</v>
      </c>
      <c r="H25" s="204"/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5">
      <c r="A26" s="32" t="s">
        <v>114</v>
      </c>
      <c r="B26" s="346">
        <f>+C26*$G$4</f>
        <v>66105.400000000009</v>
      </c>
      <c r="C26" s="206">
        <f>+'PG&amp;E'!D40</f>
        <v>32090</v>
      </c>
      <c r="D26" s="365">
        <f>+'PG&amp;E'!A40</f>
        <v>37290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2" customFormat="1" ht="13.5" customHeight="1" x14ac:dyDescent="0.25">
      <c r="A27" s="32" t="s">
        <v>23</v>
      </c>
      <c r="B27" s="346">
        <f>+C27*$G$3</f>
        <v>36262.18</v>
      </c>
      <c r="C27" s="348">
        <f>+'Red C'!$F$45</f>
        <v>17603</v>
      </c>
      <c r="D27" s="364">
        <f>+'Red C'!A45</f>
        <v>37290</v>
      </c>
      <c r="E27" s="204" t="s">
        <v>84</v>
      </c>
      <c r="F27" s="32" t="s">
        <v>153</v>
      </c>
      <c r="G27" s="32" t="s">
        <v>115</v>
      </c>
      <c r="H27" s="32"/>
      <c r="I27" s="204"/>
      <c r="J27" s="204"/>
      <c r="K27" s="204"/>
      <c r="L27" s="204"/>
      <c r="M27" s="204" t="s">
        <v>243</v>
      </c>
      <c r="N27" s="471">
        <v>24268</v>
      </c>
      <c r="O27" s="273">
        <v>1481856.66</v>
      </c>
      <c r="P27" s="273">
        <f>+O27</f>
        <v>1481856.66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2" customFormat="1" ht="13.5" customHeight="1" x14ac:dyDescent="0.25">
      <c r="A28" s="32" t="s">
        <v>110</v>
      </c>
      <c r="B28" s="346">
        <f>+C28*$G$4</f>
        <v>36229.22</v>
      </c>
      <c r="C28" s="275">
        <f>+CIG!D42</f>
        <v>17587</v>
      </c>
      <c r="D28" s="365">
        <f>+CIG!A42</f>
        <v>37290</v>
      </c>
      <c r="E28" s="204" t="s">
        <v>84</v>
      </c>
      <c r="F28" s="32" t="s">
        <v>154</v>
      </c>
      <c r="G28" s="32" t="s">
        <v>113</v>
      </c>
      <c r="H28" s="32"/>
      <c r="I28" s="204"/>
      <c r="J28" s="204"/>
      <c r="K28" s="204"/>
      <c r="L28" s="204"/>
      <c r="M28" s="204"/>
      <c r="N28" s="471"/>
      <c r="O28" s="273"/>
      <c r="P28" s="273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2" customFormat="1" ht="13.5" customHeight="1" x14ac:dyDescent="0.25">
      <c r="A29" s="32" t="s">
        <v>300</v>
      </c>
      <c r="B29" s="346">
        <f>+Stratland!$D$41</f>
        <v>34122.25</v>
      </c>
      <c r="C29" s="275">
        <f t="shared" ref="C29:C35" si="0">+B29/$G$4</f>
        <v>16564.199029126212</v>
      </c>
      <c r="D29" s="364">
        <f>+Stratland!A41</f>
        <v>37271</v>
      </c>
      <c r="E29" s="32" t="s">
        <v>85</v>
      </c>
      <c r="F29" s="32" t="s">
        <v>302</v>
      </c>
      <c r="G29" s="32" t="s">
        <v>102</v>
      </c>
      <c r="H29" s="32"/>
      <c r="I29" s="204"/>
      <c r="J29" s="204"/>
      <c r="K29" s="204"/>
      <c r="L29" s="204"/>
      <c r="M29" s="204" t="s">
        <v>245</v>
      </c>
      <c r="N29" s="471">
        <v>24361</v>
      </c>
      <c r="O29" s="273">
        <v>811179.69</v>
      </c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2" customFormat="1" ht="13.5" customHeight="1" x14ac:dyDescent="0.25">
      <c r="A30" s="204" t="s">
        <v>139</v>
      </c>
      <c r="B30" s="346">
        <f>+'Citizens-Griffith'!D41</f>
        <v>31899.5</v>
      </c>
      <c r="C30" s="275">
        <f t="shared" si="0"/>
        <v>15485.194174757282</v>
      </c>
      <c r="D30" s="364">
        <f>+'Citizens-Griffith'!A41</f>
        <v>37290</v>
      </c>
      <c r="E30" s="204" t="s">
        <v>85</v>
      </c>
      <c r="F30" s="204" t="s">
        <v>303</v>
      </c>
      <c r="G30" s="204" t="s">
        <v>99</v>
      </c>
      <c r="H30" s="204"/>
      <c r="I30" s="204"/>
      <c r="J30" s="204"/>
      <c r="K30" s="204"/>
      <c r="L30" s="204"/>
      <c r="M30" s="204"/>
      <c r="N30" s="471"/>
      <c r="O30" s="273"/>
      <c r="P30" s="273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ht="13.5" customHeight="1" x14ac:dyDescent="0.25">
      <c r="A31" s="204" t="s">
        <v>71</v>
      </c>
      <c r="B31" s="347">
        <f>+transcol!$D$43</f>
        <v>31795.9</v>
      </c>
      <c r="C31" s="348">
        <f t="shared" si="0"/>
        <v>15434.902912621359</v>
      </c>
      <c r="D31" s="364">
        <f>+transcol!A43</f>
        <v>37290</v>
      </c>
      <c r="E31" s="204" t="s">
        <v>85</v>
      </c>
      <c r="F31" s="204" t="s">
        <v>153</v>
      </c>
      <c r="G31" s="204" t="s">
        <v>115</v>
      </c>
      <c r="H31" s="32"/>
      <c r="I31" s="204"/>
      <c r="J31" s="32"/>
      <c r="K31" s="32"/>
      <c r="L31" s="32"/>
      <c r="M31" s="32" t="s">
        <v>244</v>
      </c>
      <c r="N31" s="380">
        <v>26357</v>
      </c>
      <c r="O31" s="70">
        <v>44144.84</v>
      </c>
      <c r="P31" s="32" t="s">
        <v>247</v>
      </c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s="592" customFormat="1" ht="13.5" customHeight="1" x14ac:dyDescent="0.25">
      <c r="A32" s="32" t="s">
        <v>1</v>
      </c>
      <c r="B32" s="346">
        <f>+C32*$G$3</f>
        <v>31103.940000000002</v>
      </c>
      <c r="C32" s="206">
        <f>+NW!$F$41</f>
        <v>15099</v>
      </c>
      <c r="D32" s="364">
        <f>+NW!B41</f>
        <v>37290</v>
      </c>
      <c r="E32" s="32" t="s">
        <v>84</v>
      </c>
      <c r="F32" s="32" t="s">
        <v>153</v>
      </c>
      <c r="G32" s="32" t="s">
        <v>115</v>
      </c>
      <c r="H32" s="352"/>
      <c r="I32" s="204"/>
      <c r="J32" s="204"/>
      <c r="K32" s="204"/>
      <c r="L32" s="204"/>
      <c r="M32" s="204"/>
      <c r="N32" s="471"/>
      <c r="O32" s="273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</row>
    <row r="33" spans="1:33" ht="15" customHeight="1" x14ac:dyDescent="0.25">
      <c r="A33" s="204" t="s">
        <v>109</v>
      </c>
      <c r="B33" s="346">
        <f>+Continental!F43</f>
        <v>27491.7</v>
      </c>
      <c r="C33" s="206">
        <f t="shared" si="0"/>
        <v>13345.485436893205</v>
      </c>
      <c r="D33" s="364">
        <f>+Continental!A43</f>
        <v>37290</v>
      </c>
      <c r="E33" s="204" t="s">
        <v>85</v>
      </c>
      <c r="F33" s="204" t="s">
        <v>154</v>
      </c>
      <c r="G33" s="204" t="s">
        <v>115</v>
      </c>
      <c r="H33" s="204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5">
      <c r="A34" s="32" t="s">
        <v>283</v>
      </c>
      <c r="B34" s="346">
        <f>+'WTG inc'!N43</f>
        <v>25673.48</v>
      </c>
      <c r="C34" s="275">
        <f t="shared" si="0"/>
        <v>12462.854368932038</v>
      </c>
      <c r="D34" s="365">
        <f>+'WTG inc'!A43</f>
        <v>37290</v>
      </c>
      <c r="E34" s="32" t="s">
        <v>85</v>
      </c>
      <c r="F34" s="32" t="s">
        <v>153</v>
      </c>
      <c r="G34" s="32" t="s">
        <v>115</v>
      </c>
      <c r="H34" s="204"/>
      <c r="I34" s="32"/>
      <c r="J34" s="32"/>
      <c r="K34" s="32"/>
      <c r="L34" s="32"/>
      <c r="M34" s="32"/>
      <c r="N34" s="380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92" customFormat="1" ht="13.5" customHeight="1" x14ac:dyDescent="0.25">
      <c r="A35" s="32" t="s">
        <v>103</v>
      </c>
      <c r="B35" s="346">
        <f>+EOG!$J$41</f>
        <v>18980</v>
      </c>
      <c r="C35" s="275">
        <f t="shared" si="0"/>
        <v>9213.5922330097092</v>
      </c>
      <c r="D35" s="364">
        <f>+EOG!A41</f>
        <v>37287</v>
      </c>
      <c r="E35" s="32" t="s">
        <v>85</v>
      </c>
      <c r="F35" s="32" t="s">
        <v>302</v>
      </c>
      <c r="G35" s="32" t="s">
        <v>102</v>
      </c>
      <c r="H35" s="32"/>
      <c r="I35" s="204"/>
      <c r="J35" s="204"/>
      <c r="K35" s="204"/>
      <c r="L35" s="204"/>
      <c r="M35" s="204"/>
      <c r="N35" s="471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5">
      <c r="A36" s="204" t="s">
        <v>127</v>
      </c>
      <c r="B36" s="346">
        <f>+Calpine!D41</f>
        <v>15275.580000000002</v>
      </c>
      <c r="C36" s="206">
        <f>+B36/$G$4</f>
        <v>7415.3300970873797</v>
      </c>
      <c r="D36" s="364">
        <f>+Calpine!A41</f>
        <v>37290</v>
      </c>
      <c r="E36" s="204" t="s">
        <v>85</v>
      </c>
      <c r="F36" s="204" t="s">
        <v>153</v>
      </c>
      <c r="G36" s="204" t="s">
        <v>99</v>
      </c>
      <c r="H36" s="204"/>
      <c r="I36" s="32"/>
      <c r="J36" s="32"/>
      <c r="K36" s="32"/>
      <c r="L36" s="32"/>
      <c r="M36" s="32"/>
      <c r="N36" s="380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592" customFormat="1" ht="13.5" customHeight="1" x14ac:dyDescent="0.25">
      <c r="A37" s="32" t="s">
        <v>291</v>
      </c>
      <c r="B37" s="346">
        <f>+C37*$G$3</f>
        <v>14593.04</v>
      </c>
      <c r="C37" s="275">
        <f>+Amoco!D40</f>
        <v>7084</v>
      </c>
      <c r="D37" s="365">
        <f>+Amoco!A40</f>
        <v>37290</v>
      </c>
      <c r="E37" s="32" t="s">
        <v>84</v>
      </c>
      <c r="F37" s="32" t="s">
        <v>153</v>
      </c>
      <c r="G37" s="32" t="s">
        <v>115</v>
      </c>
      <c r="H37" s="32"/>
      <c r="I37" s="204"/>
      <c r="J37" s="204"/>
      <c r="K37" s="204"/>
      <c r="L37" s="204"/>
      <c r="M37" s="204"/>
      <c r="N37" s="471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ht="13.5" customHeight="1" x14ac:dyDescent="0.25">
      <c r="A38" s="204" t="s">
        <v>147</v>
      </c>
      <c r="B38" s="346">
        <f>+PGETX!$H$39</f>
        <v>9867</v>
      </c>
      <c r="C38" s="275">
        <f>+B38/$G$4</f>
        <v>4789.8058252427181</v>
      </c>
      <c r="D38" s="364">
        <f>+PGETX!E39</f>
        <v>37287</v>
      </c>
      <c r="E38" s="204" t="s">
        <v>85</v>
      </c>
      <c r="F38" s="204" t="s">
        <v>154</v>
      </c>
      <c r="G38" s="204" t="s">
        <v>102</v>
      </c>
      <c r="H38" s="204"/>
      <c r="I38" s="32"/>
      <c r="J38" s="32"/>
      <c r="K38" s="32"/>
      <c r="L38" s="32"/>
      <c r="M38" s="32"/>
      <c r="N38" s="380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s="592" customFormat="1" ht="13.5" customHeight="1" x14ac:dyDescent="0.25">
      <c r="A39" s="32" t="s">
        <v>131</v>
      </c>
      <c r="B39" s="349">
        <f>+SidR!D41</f>
        <v>4721.78</v>
      </c>
      <c r="C39" s="71">
        <f>+B39/$G$5</f>
        <v>2292.1262135922329</v>
      </c>
      <c r="D39" s="365">
        <f>+SidR!A41</f>
        <v>37290</v>
      </c>
      <c r="E39" s="32" t="s">
        <v>85</v>
      </c>
      <c r="F39" s="32" t="s">
        <v>152</v>
      </c>
      <c r="G39" s="32" t="s">
        <v>102</v>
      </c>
      <c r="H39" s="32"/>
      <c r="I39" s="204"/>
      <c r="J39" s="204"/>
      <c r="K39" s="204"/>
      <c r="L39" s="204"/>
      <c r="M39" s="204"/>
      <c r="N39" s="471"/>
      <c r="O39" s="273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</row>
    <row r="40" spans="1:33" ht="18" customHeight="1" x14ac:dyDescent="0.25">
      <c r="A40" s="32" t="s">
        <v>96</v>
      </c>
      <c r="B40" s="47">
        <f>SUM(B8:B39)</f>
        <v>7125169.1320000039</v>
      </c>
      <c r="C40" s="69">
        <f>SUM(C8:C39)</f>
        <v>3458819.9669902902</v>
      </c>
      <c r="D40" s="203"/>
      <c r="E40" s="32"/>
      <c r="F40" s="32"/>
      <c r="G40" s="32"/>
      <c r="H40" s="32"/>
      <c r="I40" s="32"/>
      <c r="J40" s="32"/>
      <c r="K40" s="32"/>
      <c r="L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5">
      <c r="A41" s="32"/>
      <c r="B41" s="47"/>
      <c r="C41" s="69"/>
      <c r="D41" s="203"/>
      <c r="E41" s="32"/>
      <c r="F41" s="351"/>
      <c r="G41" s="351"/>
      <c r="H41" s="32"/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5">
      <c r="A42" s="335" t="s">
        <v>89</v>
      </c>
      <c r="B42" s="336" t="s">
        <v>16</v>
      </c>
      <c r="C42" s="337" t="s">
        <v>0</v>
      </c>
      <c r="D42" s="344" t="s">
        <v>146</v>
      </c>
      <c r="E42" s="335" t="s">
        <v>90</v>
      </c>
      <c r="F42" s="338" t="s">
        <v>101</v>
      </c>
      <c r="G42" s="338" t="s">
        <v>101</v>
      </c>
      <c r="H42" s="335" t="s">
        <v>98</v>
      </c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5" customHeight="1" x14ac:dyDescent="0.25">
      <c r="A43" s="204" t="s">
        <v>248</v>
      </c>
      <c r="B43" s="347">
        <f>+DEFS!$C$40+DEFS!$E$40+DEFS!$F$44+DEFS!$F$45+DEFS!$F$46+DEFS!$F$47+DEFS!$F$48</f>
        <v>-2824442.71</v>
      </c>
      <c r="C43" s="348">
        <f>+B43/$G$5</f>
        <v>-1371088.6941747572</v>
      </c>
      <c r="D43" s="364">
        <f>+DEFS!A40</f>
        <v>37290</v>
      </c>
      <c r="E43" s="204" t="s">
        <v>85</v>
      </c>
      <c r="F43" s="32" t="s">
        <v>153</v>
      </c>
      <c r="G43" s="32" t="s">
        <v>100</v>
      </c>
      <c r="H43" s="32" t="s">
        <v>312</v>
      </c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204" t="s">
        <v>135</v>
      </c>
      <c r="B44" s="346">
        <f>+Citizens!D18</f>
        <v>-550339.18999999994</v>
      </c>
      <c r="C44" s="206">
        <f>+B44/$G$4</f>
        <v>-267154.94660194172</v>
      </c>
      <c r="D44" s="364">
        <f>+Citizens!A18</f>
        <v>37287</v>
      </c>
      <c r="E44" s="204" t="s">
        <v>85</v>
      </c>
      <c r="F44" s="204" t="s">
        <v>303</v>
      </c>
      <c r="G44" s="204" t="s">
        <v>99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" customHeight="1" x14ac:dyDescent="0.25">
      <c r="A45" s="32" t="s">
        <v>133</v>
      </c>
      <c r="B45" s="346">
        <f>+'NS Steel'!D41</f>
        <v>-294110.32</v>
      </c>
      <c r="C45" s="206">
        <f>+B45/$G$4</f>
        <v>-142772</v>
      </c>
      <c r="D45" s="365">
        <f>+'NS Steel'!A41</f>
        <v>37290</v>
      </c>
      <c r="E45" s="32" t="s">
        <v>85</v>
      </c>
      <c r="F45" s="32" t="s">
        <v>154</v>
      </c>
      <c r="G45" s="32" t="s">
        <v>100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" customHeight="1" x14ac:dyDescent="0.25">
      <c r="A46" s="204" t="s">
        <v>260</v>
      </c>
      <c r="B46" s="346">
        <f>+MiVida_Rich!D41</f>
        <v>-203736.06</v>
      </c>
      <c r="C46" s="206">
        <f>+B46/$G$5</f>
        <v>-98901</v>
      </c>
      <c r="D46" s="364">
        <f>+MiVida_Rich!A41</f>
        <v>37256</v>
      </c>
      <c r="E46" s="204" t="s">
        <v>85</v>
      </c>
      <c r="F46" s="204" t="s">
        <v>152</v>
      </c>
      <c r="G46" s="204" t="s">
        <v>102</v>
      </c>
      <c r="H46" s="352"/>
      <c r="I46" s="32"/>
      <c r="J46" s="32"/>
      <c r="K46" s="32"/>
      <c r="L46" s="32"/>
      <c r="M46" s="32"/>
      <c r="N46" s="380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ht="12.9" customHeight="1" x14ac:dyDescent="0.25">
      <c r="A47" s="32" t="s">
        <v>6</v>
      </c>
      <c r="B47" s="346">
        <f>+Oasis!$D$40</f>
        <v>-135517.85999999999</v>
      </c>
      <c r="C47" s="206">
        <f>+B47/$G$5</f>
        <v>-65785.368932038822</v>
      </c>
      <c r="D47" s="365">
        <f>+Oasis!A40</f>
        <v>37290</v>
      </c>
      <c r="E47" s="32" t="s">
        <v>85</v>
      </c>
      <c r="F47" s="32" t="s">
        <v>154</v>
      </c>
      <c r="G47" s="32" t="s">
        <v>102</v>
      </c>
      <c r="H47" s="32"/>
      <c r="I47" s="32"/>
      <c r="J47" s="32"/>
      <c r="K47" s="32"/>
      <c r="L47" s="32"/>
      <c r="M47" s="32"/>
      <c r="N47" s="380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s="593" customFormat="1" ht="13.5" customHeight="1" x14ac:dyDescent="0.25">
      <c r="A48" s="32" t="s">
        <v>216</v>
      </c>
      <c r="B48" s="346">
        <f>+crosstex!F41</f>
        <v>-135032.64000000001</v>
      </c>
      <c r="C48" s="206">
        <f>+B48/$G$4</f>
        <v>-65549.825242718449</v>
      </c>
      <c r="D48" s="365">
        <f>+crosstex!A41</f>
        <v>37290</v>
      </c>
      <c r="E48" s="32" t="s">
        <v>85</v>
      </c>
      <c r="F48" s="32" t="s">
        <v>152</v>
      </c>
      <c r="G48" s="32" t="s">
        <v>100</v>
      </c>
      <c r="H48" s="352"/>
      <c r="I48" s="249"/>
      <c r="J48" s="249"/>
      <c r="K48" s="249"/>
      <c r="L48" s="249"/>
      <c r="M48" s="32"/>
      <c r="N48" s="471"/>
      <c r="O48" s="273"/>
      <c r="P48" s="249"/>
      <c r="Q48" s="249"/>
      <c r="R48" s="249"/>
      <c r="S48" s="249"/>
      <c r="T48" s="249"/>
      <c r="U48" s="249"/>
      <c r="V48" s="249"/>
      <c r="W48" s="249"/>
      <c r="X48" s="249"/>
      <c r="Y48" s="249"/>
      <c r="Z48" s="249"/>
      <c r="AA48" s="249"/>
      <c r="AB48" s="249"/>
      <c r="AC48" s="249"/>
      <c r="AD48" s="249"/>
      <c r="AE48" s="249"/>
      <c r="AF48" s="249"/>
      <c r="AG48" s="249"/>
    </row>
    <row r="49" spans="1:33" ht="13.5" customHeight="1" x14ac:dyDescent="0.25">
      <c r="A49" s="204" t="s">
        <v>87</v>
      </c>
      <c r="B49" s="346">
        <f>+NNG!$D$24</f>
        <v>-72322.260000000009</v>
      </c>
      <c r="C49" s="275">
        <f>+B49/$G$4</f>
        <v>-35107.893203883497</v>
      </c>
      <c r="D49" s="364">
        <f>+NNG!A24</f>
        <v>37290</v>
      </c>
      <c r="E49" s="204" t="s">
        <v>85</v>
      </c>
      <c r="F49" s="204" t="s">
        <v>302</v>
      </c>
      <c r="G49" s="204" t="s">
        <v>100</v>
      </c>
      <c r="H49" s="204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5">
      <c r="A50" s="204" t="s">
        <v>204</v>
      </c>
      <c r="B50" s="347">
        <f>+WTGmktg!J43</f>
        <v>-34625.18</v>
      </c>
      <c r="C50" s="206">
        <f>+B50/$G$4</f>
        <v>-16808.339805825242</v>
      </c>
      <c r="D50" s="364">
        <f>+WTGmktg!A43</f>
        <v>37290</v>
      </c>
      <c r="E50" s="32" t="s">
        <v>85</v>
      </c>
      <c r="F50" s="204" t="s">
        <v>153</v>
      </c>
      <c r="G50" s="204" t="s">
        <v>115</v>
      </c>
      <c r="H50" s="204"/>
      <c r="I50" s="32"/>
      <c r="J50" s="32"/>
      <c r="K50" s="32"/>
      <c r="L50" s="32"/>
      <c r="M50" s="32"/>
      <c r="N50" s="380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592" customFormat="1" ht="13.5" customHeight="1" x14ac:dyDescent="0.25">
      <c r="A51" s="32" t="s">
        <v>280</v>
      </c>
      <c r="B51" s="346">
        <f>+SWGasTrans!$D$41</f>
        <v>-20477.36</v>
      </c>
      <c r="C51" s="275">
        <f>+B51/$G$4</f>
        <v>-9940.4660194174758</v>
      </c>
      <c r="D51" s="364">
        <f>+SWGasTrans!A41</f>
        <v>37290</v>
      </c>
      <c r="E51" s="32" t="s">
        <v>85</v>
      </c>
      <c r="F51" s="32" t="s">
        <v>153</v>
      </c>
      <c r="G51" s="32" t="s">
        <v>99</v>
      </c>
      <c r="H51" s="32"/>
      <c r="I51" s="204"/>
      <c r="J51" s="204"/>
      <c r="K51" s="204"/>
      <c r="L51" s="204"/>
      <c r="M51" s="204"/>
      <c r="N51" s="471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92" customFormat="1" ht="13.5" customHeight="1" x14ac:dyDescent="0.25">
      <c r="A52" s="204" t="s">
        <v>95</v>
      </c>
      <c r="B52" s="346">
        <f>+burlington!D42</f>
        <v>-15598.96</v>
      </c>
      <c r="C52" s="275">
        <f>+B52/$G$3</f>
        <v>-7572.3106796116499</v>
      </c>
      <c r="D52" s="364">
        <f>+burlington!A42</f>
        <v>37290</v>
      </c>
      <c r="E52" s="204" t="s">
        <v>85</v>
      </c>
      <c r="F52" s="32" t="s">
        <v>154</v>
      </c>
      <c r="G52" s="32" t="s">
        <v>113</v>
      </c>
      <c r="H52" s="32"/>
      <c r="I52" s="204"/>
      <c r="J52" s="204"/>
      <c r="K52" s="204"/>
      <c r="L52" s="204"/>
      <c r="M52" s="204"/>
      <c r="N52" s="471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3.5" customHeight="1" x14ac:dyDescent="0.25">
      <c r="A53" s="204" t="s">
        <v>28</v>
      </c>
      <c r="B53" s="346">
        <f>+C53*$G$3</f>
        <v>-13680.460000000001</v>
      </c>
      <c r="C53" s="275">
        <f>+williams!J40</f>
        <v>-6641</v>
      </c>
      <c r="D53" s="364">
        <f>+williams!A40</f>
        <v>37290</v>
      </c>
      <c r="E53" s="204" t="s">
        <v>85</v>
      </c>
      <c r="F53" s="204" t="s">
        <v>154</v>
      </c>
      <c r="G53" s="204" t="s">
        <v>293</v>
      </c>
      <c r="H53" s="204"/>
      <c r="I53" s="32"/>
      <c r="J53" s="32"/>
      <c r="K53" s="32"/>
      <c r="L53" s="32"/>
      <c r="M53" s="32"/>
      <c r="N53" s="380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3.5" customHeight="1" x14ac:dyDescent="0.25">
      <c r="A54" s="204" t="s">
        <v>142</v>
      </c>
      <c r="B54" s="596">
        <f>+C54*$G$4</f>
        <v>-5440.46</v>
      </c>
      <c r="C54" s="283">
        <f>+PEPL!D41</f>
        <v>-2641</v>
      </c>
      <c r="D54" s="364">
        <f>+PEPL!A41</f>
        <v>37290</v>
      </c>
      <c r="E54" s="204" t="s">
        <v>84</v>
      </c>
      <c r="F54" s="204" t="s">
        <v>303</v>
      </c>
      <c r="G54" s="204" t="s">
        <v>100</v>
      </c>
      <c r="H54" s="32"/>
      <c r="I54" s="32"/>
      <c r="J54" s="32"/>
      <c r="K54" s="32"/>
      <c r="L54" s="32"/>
      <c r="M54" s="32"/>
      <c r="N54" s="380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5" customHeight="1" x14ac:dyDescent="0.25">
      <c r="A55" s="32" t="s">
        <v>97</v>
      </c>
      <c r="B55" s="346">
        <f>SUM(B43:B54)</f>
        <v>-4305323.46</v>
      </c>
      <c r="C55" s="206">
        <f>SUM(C43:C54)</f>
        <v>-2089962.8446601939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5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8" thickBot="1" x14ac:dyDescent="0.3">
      <c r="A57" s="2" t="s">
        <v>91</v>
      </c>
      <c r="B57" s="354">
        <f>+B55+B40</f>
        <v>2819845.672000004</v>
      </c>
      <c r="C57" s="355">
        <f>+C55+C40</f>
        <v>1368857.1223300963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A72" s="2" t="s">
        <v>263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A73" s="32" t="s">
        <v>261</v>
      </c>
      <c r="B73" s="47"/>
      <c r="C73" s="69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A74" s="32" t="s">
        <v>262</v>
      </c>
      <c r="B74" s="47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A75" s="32"/>
      <c r="B75" s="356"/>
      <c r="C75" s="357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A76" s="2" t="s">
        <v>264</v>
      </c>
      <c r="B76" s="75"/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A77" s="32" t="s">
        <v>265</v>
      </c>
      <c r="B77" s="75">
        <v>16841.21</v>
      </c>
      <c r="C77" s="69"/>
      <c r="D77" s="203"/>
      <c r="E77" s="32"/>
      <c r="F77" s="32"/>
      <c r="G77" s="32"/>
      <c r="H77" s="32"/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A78" s="32" t="s">
        <v>267</v>
      </c>
      <c r="B78" s="75">
        <v>-8065.83</v>
      </c>
      <c r="C78" s="69"/>
      <c r="D78" s="203"/>
      <c r="E78" s="32"/>
      <c r="F78" s="32"/>
      <c r="G78" s="32"/>
      <c r="H78" s="32"/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A79" s="32" t="s">
        <v>268</v>
      </c>
      <c r="B79" s="527">
        <v>-725.46</v>
      </c>
      <c r="C79" s="69"/>
      <c r="D79" s="358"/>
      <c r="E79" s="32"/>
      <c r="F79" s="32"/>
      <c r="G79" s="32"/>
      <c r="H79" s="32"/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A80" s="32" t="s">
        <v>269</v>
      </c>
      <c r="B80" s="527">
        <v>-1777.19</v>
      </c>
      <c r="C80" s="291"/>
      <c r="D80" s="360"/>
      <c r="E80" s="32"/>
      <c r="F80" s="32"/>
      <c r="G80" s="32"/>
      <c r="H80" s="32"/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5">
      <c r="A81" s="32" t="s">
        <v>270</v>
      </c>
      <c r="B81" s="527">
        <v>2429.75</v>
      </c>
      <c r="C81" s="291"/>
      <c r="D81" s="361"/>
      <c r="E81" s="32"/>
      <c r="F81" s="32"/>
      <c r="G81" s="32"/>
      <c r="H81" s="32"/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5">
      <c r="A82" s="32" t="s">
        <v>271</v>
      </c>
      <c r="B82" s="527">
        <v>6695.6</v>
      </c>
      <c r="C82" s="496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5">
      <c r="A83" s="32" t="s">
        <v>273</v>
      </c>
      <c r="B83" s="524">
        <v>-2165.34</v>
      </c>
      <c r="C83" s="496"/>
      <c r="D83" s="203"/>
      <c r="E83" s="32"/>
      <c r="F83" s="32"/>
      <c r="G83" s="32"/>
      <c r="H83" s="32"/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5">
      <c r="A84" s="32" t="s">
        <v>275</v>
      </c>
      <c r="B84" s="524">
        <v>-17015.8</v>
      </c>
      <c r="C84" s="496"/>
      <c r="D84" s="203"/>
      <c r="E84" s="32"/>
      <c r="F84" s="32"/>
      <c r="G84" s="32"/>
      <c r="H84" s="32"/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5">
      <c r="A85" s="32" t="s">
        <v>276</v>
      </c>
      <c r="B85" s="524">
        <v>8356.0499999999993</v>
      </c>
      <c r="C85" s="594"/>
      <c r="D85" s="358"/>
      <c r="E85" s="32"/>
      <c r="F85" s="32"/>
      <c r="G85" s="32"/>
      <c r="H85" s="32"/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5">
      <c r="A86" s="32" t="s">
        <v>277</v>
      </c>
      <c r="B86" s="540">
        <f>775*2.25</f>
        <v>1743.75</v>
      </c>
      <c r="C86" s="594"/>
      <c r="D86" s="358"/>
      <c r="E86" s="32"/>
      <c r="F86" s="32"/>
      <c r="G86" s="32"/>
      <c r="H86" s="32"/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5">
      <c r="A87" s="32" t="s">
        <v>274</v>
      </c>
      <c r="B87" s="15">
        <f>44144.84-58339.66</f>
        <v>-14194.820000000007</v>
      </c>
      <c r="C87" s="594">
        <v>26357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5">
      <c r="A88" s="32" t="s">
        <v>274</v>
      </c>
      <c r="B88" s="15">
        <v>-51695.87</v>
      </c>
      <c r="C88" s="594">
        <v>20379</v>
      </c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5">
      <c r="A89" s="32" t="s">
        <v>274</v>
      </c>
      <c r="B89" s="15">
        <v>61340.160000000003</v>
      </c>
      <c r="C89" s="594">
        <v>21544</v>
      </c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5">
      <c r="A90" s="32" t="s">
        <v>295</v>
      </c>
      <c r="B90" s="524">
        <v>-2475.85</v>
      </c>
      <c r="C90" s="594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5">
      <c r="A91" s="32" t="s">
        <v>281</v>
      </c>
      <c r="B91" s="524">
        <v>2493.64</v>
      </c>
      <c r="C91" s="594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5">
      <c r="A92" s="32" t="s">
        <v>266</v>
      </c>
      <c r="B92" s="527">
        <v>-35893</v>
      </c>
      <c r="C92" s="496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5">
      <c r="A93" s="32" t="s">
        <v>272</v>
      </c>
      <c r="B93" s="15">
        <v>3338.45</v>
      </c>
      <c r="C93" s="496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5">
      <c r="A94" s="32" t="s">
        <v>296</v>
      </c>
      <c r="B94" s="526">
        <v>4000.5</v>
      </c>
      <c r="C94" s="496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5">
      <c r="A95" s="32" t="s">
        <v>297</v>
      </c>
      <c r="B95" s="526">
        <v>-725.46</v>
      </c>
      <c r="C95" s="496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5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A97" s="32"/>
      <c r="B97" s="16">
        <f>SUM(B77:B96)</f>
        <v>-27495.510000000006</v>
      </c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5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5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7" sqref="B7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f>-56073-30987</f>
        <v>-87060</v>
      </c>
      <c r="C7" s="80">
        <v>-36051</v>
      </c>
      <c r="D7" s="80">
        <f t="shared" si="0"/>
        <v>51009</v>
      </c>
    </row>
    <row r="8" spans="1:4" x14ac:dyDescent="0.2">
      <c r="A8" s="32">
        <v>60667</v>
      </c>
      <c r="B8" s="309">
        <v>-4</v>
      </c>
      <c r="C8" s="80">
        <v>-111778</v>
      </c>
      <c r="D8" s="80">
        <f t="shared" si="0"/>
        <v>-111774</v>
      </c>
    </row>
    <row r="9" spans="1:4" x14ac:dyDescent="0.2">
      <c r="A9" s="32">
        <v>60749</v>
      </c>
      <c r="B9" s="309"/>
      <c r="C9" s="80">
        <v>13946</v>
      </c>
      <c r="D9" s="80">
        <f t="shared" si="0"/>
        <v>13946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f>-28440+21842</f>
        <v>-6598</v>
      </c>
      <c r="C11" s="80"/>
      <c r="D11" s="80">
        <f t="shared" si="0"/>
        <v>6598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-40221</v>
      </c>
    </row>
    <row r="19" spans="1:5" x14ac:dyDescent="0.2">
      <c r="A19" s="32" t="s">
        <v>81</v>
      </c>
      <c r="B19" s="69"/>
      <c r="C19" s="69"/>
      <c r="D19" s="73">
        <f>+summary!G4</f>
        <v>2.06</v>
      </c>
    </row>
    <row r="20" spans="1:5" x14ac:dyDescent="0.2">
      <c r="B20" s="69"/>
      <c r="C20" s="69"/>
      <c r="D20" s="75">
        <f>+D19*D18</f>
        <v>-82855.260000000009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36">
        <v>10533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37290</v>
      </c>
      <c r="B24" s="69"/>
      <c r="C24" s="69"/>
      <c r="D24" s="332">
        <f>+D22+D20</f>
        <v>-72322.260000000009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7">
        <v>3422</v>
      </c>
    </row>
    <row r="33" spans="1:4" x14ac:dyDescent="0.2">
      <c r="A33" s="49">
        <f>+A24</f>
        <v>37290</v>
      </c>
      <c r="D33" s="350">
        <f>+D18</f>
        <v>-40221</v>
      </c>
    </row>
    <row r="34" spans="1:4" x14ac:dyDescent="0.2">
      <c r="D34" s="14">
        <f>+D33+D32</f>
        <v>-36799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7" workbookViewId="0">
      <selection activeCell="C29" sqref="C29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5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f>-9479-3735</f>
        <v>-13214</v>
      </c>
      <c r="C5" s="90">
        <v>-5330</v>
      </c>
      <c r="D5" s="90">
        <f t="shared" ref="D5:D13" si="0">+C5-B5</f>
        <v>7884</v>
      </c>
      <c r="E5" s="69"/>
      <c r="F5" s="201"/>
    </row>
    <row r="6" spans="1:13" x14ac:dyDescent="0.25">
      <c r="A6" s="87">
        <v>9238</v>
      </c>
      <c r="B6" s="90">
        <f>-2827-1418</f>
        <v>-4245</v>
      </c>
      <c r="C6" s="90">
        <v>-3000</v>
      </c>
      <c r="D6" s="90">
        <f t="shared" si="0"/>
        <v>1245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f>-216151-88124</f>
        <v>-304275</v>
      </c>
      <c r="C7" s="90">
        <v>-289318</v>
      </c>
      <c r="D7" s="90">
        <f t="shared" si="0"/>
        <v>14957</v>
      </c>
      <c r="E7" s="275"/>
      <c r="F7" s="201"/>
    </row>
    <row r="8" spans="1:13" x14ac:dyDescent="0.25">
      <c r="A8" s="87">
        <v>58710</v>
      </c>
      <c r="B8" s="90"/>
      <c r="C8" s="90">
        <v>-243</v>
      </c>
      <c r="D8" s="90">
        <f t="shared" si="0"/>
        <v>-243</v>
      </c>
      <c r="E8" s="275"/>
      <c r="F8" s="201"/>
    </row>
    <row r="9" spans="1:13" x14ac:dyDescent="0.25">
      <c r="A9" s="87">
        <v>60921</v>
      </c>
      <c r="B9" s="90">
        <f>-200655-65617</f>
        <v>-266272</v>
      </c>
      <c r="C9" s="90">
        <v>-281438</v>
      </c>
      <c r="D9" s="90">
        <f t="shared" si="0"/>
        <v>-15166</v>
      </c>
      <c r="E9" s="275"/>
      <c r="F9" s="201"/>
    </row>
    <row r="10" spans="1:13" x14ac:dyDescent="0.25">
      <c r="A10" s="87">
        <v>78026</v>
      </c>
      <c r="B10" s="90"/>
      <c r="C10" s="90">
        <v>1650</v>
      </c>
      <c r="D10" s="90">
        <f t="shared" si="0"/>
        <v>1650</v>
      </c>
      <c r="E10" s="275"/>
      <c r="F10" s="467"/>
    </row>
    <row r="11" spans="1:13" x14ac:dyDescent="0.25">
      <c r="A11" s="87">
        <v>500084</v>
      </c>
      <c r="B11" s="90">
        <f>-4744-2337</f>
        <v>-7081</v>
      </c>
      <c r="C11" s="90">
        <v>-9000</v>
      </c>
      <c r="D11" s="90">
        <f t="shared" si="0"/>
        <v>-1919</v>
      </c>
      <c r="E11" s="276"/>
      <c r="F11" s="467"/>
    </row>
    <row r="12" spans="1:13" x14ac:dyDescent="0.25">
      <c r="A12" s="317">
        <v>500085</v>
      </c>
      <c r="B12" s="90">
        <v>-144</v>
      </c>
      <c r="C12" s="90"/>
      <c r="D12" s="90">
        <f t="shared" si="0"/>
        <v>144</v>
      </c>
      <c r="E12" s="275"/>
      <c r="F12" s="467"/>
    </row>
    <row r="13" spans="1:13" x14ac:dyDescent="0.25">
      <c r="A13" s="87">
        <v>500097</v>
      </c>
      <c r="B13" s="90">
        <v>-13101</v>
      </c>
      <c r="C13" s="90">
        <v>-12000</v>
      </c>
      <c r="D13" s="90">
        <f t="shared" si="0"/>
        <v>1101</v>
      </c>
      <c r="E13" s="275"/>
      <c r="F13" s="467"/>
    </row>
    <row r="14" spans="1:13" x14ac:dyDescent="0.25">
      <c r="A14" s="87"/>
      <c r="B14" s="90"/>
      <c r="C14" s="90"/>
      <c r="D14" s="90"/>
      <c r="E14" s="275"/>
      <c r="F14" s="467"/>
    </row>
    <row r="15" spans="1:13" x14ac:dyDescent="0.25">
      <c r="A15" s="87"/>
      <c r="B15" s="90"/>
      <c r="C15" s="90"/>
      <c r="D15" s="90"/>
      <c r="E15" s="275"/>
      <c r="F15" s="467"/>
    </row>
    <row r="16" spans="1:13" x14ac:dyDescent="0.25">
      <c r="A16" s="87"/>
      <c r="B16" s="88"/>
      <c r="C16" s="88"/>
      <c r="D16" s="94"/>
      <c r="E16" s="275"/>
      <c r="F16" s="467"/>
    </row>
    <row r="17" spans="1:7" x14ac:dyDescent="0.25">
      <c r="A17" s="87"/>
      <c r="B17" s="88"/>
      <c r="C17" s="88"/>
      <c r="D17" s="88">
        <f>SUM(D5:D16)</f>
        <v>9653</v>
      </c>
      <c r="E17" s="275"/>
      <c r="F17" s="467"/>
    </row>
    <row r="18" spans="1:7" x14ac:dyDescent="0.25">
      <c r="A18" s="87" t="s">
        <v>81</v>
      </c>
      <c r="B18" s="88"/>
      <c r="C18" s="88"/>
      <c r="D18" s="95">
        <f>+summary!G4</f>
        <v>2.06</v>
      </c>
      <c r="E18" s="277"/>
      <c r="F18" s="467"/>
    </row>
    <row r="19" spans="1:7" x14ac:dyDescent="0.25">
      <c r="A19" s="87"/>
      <c r="B19" s="88"/>
      <c r="C19" s="88"/>
      <c r="D19" s="96">
        <f>+D18*D17</f>
        <v>19885.18</v>
      </c>
      <c r="E19" s="207"/>
      <c r="F19" s="467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37287</v>
      </c>
      <c r="B21" s="88"/>
      <c r="C21" s="88"/>
      <c r="D21" s="529">
        <v>805169.68</v>
      </c>
      <c r="E21" s="207"/>
      <c r="F21" s="468"/>
    </row>
    <row r="22" spans="1:7" x14ac:dyDescent="0.25">
      <c r="A22" s="87"/>
      <c r="B22" s="88"/>
      <c r="C22" s="88"/>
      <c r="D22" s="308"/>
      <c r="E22" s="207"/>
      <c r="F22" s="468"/>
    </row>
    <row r="23" spans="1:7" ht="13.8" thickBot="1" x14ac:dyDescent="0.3">
      <c r="A23" s="99">
        <v>37290</v>
      </c>
      <c r="B23" s="88"/>
      <c r="C23" s="88"/>
      <c r="D23" s="318">
        <f>+D21+D19</f>
        <v>825054.8600000001</v>
      </c>
      <c r="E23" s="207"/>
      <c r="F23" s="468"/>
    </row>
    <row r="24" spans="1:7" ht="13.8" thickTop="1" x14ac:dyDescent="0.25">
      <c r="E24" s="278"/>
    </row>
    <row r="25" spans="1:7" x14ac:dyDescent="0.25">
      <c r="E25" s="505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37287</v>
      </c>
      <c r="B28" s="32"/>
      <c r="C28" s="32"/>
      <c r="D28" s="523">
        <v>325714</v>
      </c>
    </row>
    <row r="29" spans="1:7" x14ac:dyDescent="0.25">
      <c r="A29" s="49">
        <f>+A23</f>
        <v>37290</v>
      </c>
      <c r="B29" s="32"/>
      <c r="C29" s="32"/>
      <c r="D29" s="350">
        <f>+D17</f>
        <v>9653</v>
      </c>
    </row>
    <row r="30" spans="1:7" x14ac:dyDescent="0.25">
      <c r="A30" s="32"/>
      <c r="B30" s="32"/>
      <c r="C30" s="32"/>
      <c r="D30" s="14">
        <f>+D29+D28</f>
        <v>335367</v>
      </c>
      <c r="E30" s="345"/>
    </row>
    <row r="31" spans="1:7" x14ac:dyDescent="0.25">
      <c r="A31" s="139"/>
      <c r="B31" s="119"/>
      <c r="C31" s="140"/>
      <c r="D31" s="554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7"/>
      <c r="G44" s="204"/>
    </row>
    <row r="45" spans="1:7" x14ac:dyDescent="0.25">
      <c r="B45" s="69"/>
      <c r="C45" s="69"/>
      <c r="D45" s="292"/>
      <c r="E45" s="275"/>
      <c r="F45" s="467"/>
      <c r="G45" s="204"/>
    </row>
    <row r="46" spans="1:7" x14ac:dyDescent="0.25">
      <c r="A46" s="32"/>
      <c r="B46" s="69"/>
      <c r="C46" s="69"/>
      <c r="D46" s="275"/>
      <c r="E46" s="275"/>
      <c r="F46" s="467"/>
      <c r="G46" s="204"/>
    </row>
    <row r="47" spans="1:7" x14ac:dyDescent="0.25">
      <c r="A47" s="32"/>
      <c r="B47" s="69"/>
      <c r="C47" s="69"/>
      <c r="D47" s="277"/>
      <c r="E47" s="277"/>
      <c r="F47" s="467"/>
      <c r="G47" s="204"/>
    </row>
    <row r="48" spans="1:7" x14ac:dyDescent="0.25">
      <c r="B48" s="69"/>
      <c r="C48" s="69"/>
      <c r="D48" s="275"/>
      <c r="E48" s="275"/>
      <c r="F48" s="467"/>
      <c r="G48" s="204"/>
    </row>
    <row r="49" spans="1:7" x14ac:dyDescent="0.25">
      <c r="B49" s="69"/>
      <c r="C49" s="69"/>
      <c r="D49" s="275"/>
      <c r="E49" s="275"/>
      <c r="F49" s="467"/>
      <c r="G49" s="204"/>
    </row>
    <row r="50" spans="1:7" x14ac:dyDescent="0.25">
      <c r="C50" s="289"/>
      <c r="D50" s="289"/>
      <c r="E50" s="289"/>
      <c r="F50" s="469"/>
      <c r="G50" s="290"/>
    </row>
    <row r="51" spans="1:7" x14ac:dyDescent="0.25">
      <c r="A51" s="32"/>
      <c r="C51" s="289"/>
      <c r="D51" s="289"/>
      <c r="E51" s="289"/>
      <c r="F51" s="469"/>
    </row>
    <row r="52" spans="1:7" x14ac:dyDescent="0.25">
      <c r="A52" s="32"/>
      <c r="C52" s="289"/>
      <c r="D52" s="289"/>
      <c r="E52" s="289"/>
      <c r="F52" s="469"/>
    </row>
    <row r="53" spans="1:7" x14ac:dyDescent="0.25">
      <c r="A53" s="32"/>
      <c r="C53" s="289"/>
      <c r="D53" s="289"/>
      <c r="E53" s="289"/>
      <c r="F53" s="469"/>
    </row>
    <row r="54" spans="1:7" x14ac:dyDescent="0.25">
      <c r="A54" s="32"/>
      <c r="C54" s="289"/>
      <c r="D54" s="289"/>
      <c r="E54" s="289"/>
      <c r="F54" s="469"/>
    </row>
    <row r="55" spans="1:7" x14ac:dyDescent="0.25">
      <c r="A55" s="32"/>
      <c r="C55" s="289"/>
      <c r="D55" s="289"/>
      <c r="E55" s="278"/>
      <c r="F55" s="422"/>
    </row>
    <row r="56" spans="1:7" x14ac:dyDescent="0.25">
      <c r="C56" s="289"/>
      <c r="D56" s="289"/>
      <c r="E56" s="278"/>
      <c r="F56" s="422"/>
    </row>
    <row r="57" spans="1:7" x14ac:dyDescent="0.25">
      <c r="C57" s="289"/>
      <c r="D57" s="289"/>
      <c r="E57" s="278"/>
      <c r="F57" s="422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70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8"/>
    </row>
    <row r="101" spans="1:6" x14ac:dyDescent="0.25">
      <c r="A101" s="32"/>
      <c r="E101" s="63"/>
      <c r="F101" s="468"/>
    </row>
    <row r="102" spans="1:6" ht="13.8" thickBot="1" x14ac:dyDescent="0.3">
      <c r="A102" s="32"/>
      <c r="D102" s="68"/>
      <c r="E102" s="68"/>
      <c r="F102" s="468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70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8"/>
    </row>
    <row r="127" spans="1:6" x14ac:dyDescent="0.25">
      <c r="A127" s="32"/>
      <c r="D127" s="75"/>
      <c r="E127" s="75"/>
      <c r="F127" s="468"/>
    </row>
    <row r="128" spans="1:6" ht="13.8" thickBot="1" x14ac:dyDescent="0.3">
      <c r="A128" s="32"/>
      <c r="D128" s="77"/>
      <c r="E128" s="77"/>
      <c r="F128" s="468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70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8"/>
    </row>
    <row r="152" spans="1:6" x14ac:dyDescent="0.25">
      <c r="A152" s="32"/>
      <c r="D152" s="75"/>
      <c r="E152" s="75"/>
      <c r="F152" s="468"/>
    </row>
    <row r="153" spans="1:6" ht="13.8" thickBot="1" x14ac:dyDescent="0.3">
      <c r="A153" s="32"/>
      <c r="D153" s="77"/>
      <c r="E153" s="77"/>
      <c r="F153" s="468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70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8"/>
    </row>
    <row r="177" spans="1:6" x14ac:dyDescent="0.25">
      <c r="A177" s="32"/>
      <c r="D177" s="75"/>
      <c r="E177" s="75"/>
      <c r="F177" s="468"/>
    </row>
    <row r="178" spans="1:6" ht="13.8" thickBot="1" x14ac:dyDescent="0.3">
      <c r="A178" s="32"/>
      <c r="D178" s="77"/>
      <c r="E178" s="77"/>
      <c r="F178" s="468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70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8"/>
    </row>
    <row r="201" spans="1:6" x14ac:dyDescent="0.25">
      <c r="A201" s="32"/>
      <c r="D201" s="75"/>
      <c r="E201" s="75"/>
      <c r="F201" s="468"/>
    </row>
    <row r="202" spans="1:6" ht="13.8" thickBot="1" x14ac:dyDescent="0.3">
      <c r="A202" s="32"/>
      <c r="D202" s="83"/>
      <c r="E202" s="77"/>
      <c r="F202" s="468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70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8"/>
    </row>
    <row r="227" spans="1:6" x14ac:dyDescent="0.25">
      <c r="A227" s="32"/>
      <c r="D227" s="75"/>
      <c r="E227" s="75"/>
      <c r="F227" s="468"/>
    </row>
    <row r="228" spans="1:6" ht="13.8" thickBot="1" x14ac:dyDescent="0.3">
      <c r="A228" s="32"/>
      <c r="D228" s="83"/>
      <c r="E228" s="77"/>
      <c r="F228" s="468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70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8"/>
    </row>
    <row r="251" spans="1:6" x14ac:dyDescent="0.25">
      <c r="A251" s="32"/>
      <c r="D251" s="75"/>
      <c r="E251" s="75"/>
      <c r="F251" s="468"/>
    </row>
    <row r="252" spans="1:6" ht="13.8" thickBot="1" x14ac:dyDescent="0.3">
      <c r="A252" s="32"/>
      <c r="D252" s="86"/>
      <c r="E252" s="77"/>
      <c r="F252" s="468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70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8"/>
    </row>
    <row r="275" spans="1:6" x14ac:dyDescent="0.25">
      <c r="A275" s="87"/>
      <c r="B275" s="88"/>
      <c r="C275" s="88"/>
      <c r="D275" s="96"/>
      <c r="E275" s="75"/>
      <c r="F275" s="468"/>
    </row>
    <row r="276" spans="1:6" ht="13.8" thickBot="1" x14ac:dyDescent="0.3">
      <c r="A276" s="87"/>
      <c r="B276" s="88"/>
      <c r="C276" s="88"/>
      <c r="D276" s="98"/>
      <c r="E276" s="77"/>
      <c r="F276" s="468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70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8"/>
    </row>
    <row r="300" spans="1:6" x14ac:dyDescent="0.25">
      <c r="A300" s="87"/>
      <c r="B300" s="88"/>
      <c r="C300" s="88"/>
      <c r="D300" s="96"/>
      <c r="E300" s="75"/>
      <c r="F300" s="468"/>
    </row>
    <row r="301" spans="1:6" ht="13.8" thickBot="1" x14ac:dyDescent="0.3">
      <c r="A301" s="87"/>
      <c r="B301" s="88"/>
      <c r="C301" s="88"/>
      <c r="D301" s="98"/>
      <c r="E301" s="77"/>
      <c r="F301" s="468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70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8"/>
    </row>
    <row r="327" spans="1:6" x14ac:dyDescent="0.25">
      <c r="A327" s="87"/>
      <c r="B327" s="88"/>
      <c r="C327" s="88"/>
      <c r="D327" s="96"/>
      <c r="E327" s="75"/>
      <c r="F327" s="468"/>
    </row>
    <row r="328" spans="1:6" ht="13.8" thickBot="1" x14ac:dyDescent="0.3">
      <c r="A328" s="87"/>
      <c r="B328" s="88"/>
      <c r="C328" s="88"/>
      <c r="D328" s="98"/>
      <c r="E328" s="77"/>
      <c r="F328" s="468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E27" sqref="E27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5">
      <c r="A3">
        <v>1</v>
      </c>
      <c r="B3" s="90">
        <v>38753</v>
      </c>
      <c r="C3" s="90">
        <v>38839</v>
      </c>
      <c r="D3" s="90"/>
      <c r="E3" s="90">
        <v>-1752</v>
      </c>
      <c r="F3" s="90">
        <f>+E3-D3+C3-B3</f>
        <v>-1666</v>
      </c>
    </row>
    <row r="4" spans="1:24" x14ac:dyDescent="0.25">
      <c r="A4">
        <v>2</v>
      </c>
      <c r="B4" s="90">
        <v>40637</v>
      </c>
      <c r="C4" s="90">
        <v>40684</v>
      </c>
      <c r="D4" s="90"/>
      <c r="E4" s="90"/>
      <c r="F4" s="90">
        <f t="shared" ref="F4:F22" si="0">+E4-D4+C4-B4</f>
        <v>47</v>
      </c>
    </row>
    <row r="5" spans="1:24" x14ac:dyDescent="0.25">
      <c r="A5">
        <v>3</v>
      </c>
      <c r="B5" s="90">
        <v>40652</v>
      </c>
      <c r="C5" s="90">
        <v>40676</v>
      </c>
      <c r="D5" s="90"/>
      <c r="E5" s="90"/>
      <c r="F5" s="90">
        <f t="shared" si="0"/>
        <v>24</v>
      </c>
    </row>
    <row r="6" spans="1:24" x14ac:dyDescent="0.25">
      <c r="A6">
        <v>4</v>
      </c>
      <c r="B6" s="90"/>
      <c r="C6" s="90"/>
      <c r="D6" s="90"/>
      <c r="E6" s="90"/>
      <c r="F6" s="90">
        <f t="shared" si="0"/>
        <v>0</v>
      </c>
      <c r="I6" t="s">
        <v>235</v>
      </c>
      <c r="P6" t="s">
        <v>236</v>
      </c>
    </row>
    <row r="7" spans="1:24" x14ac:dyDescent="0.25">
      <c r="A7">
        <v>5</v>
      </c>
      <c r="B7" s="90"/>
      <c r="C7" s="90"/>
      <c r="D7" s="90"/>
      <c r="E7" s="90"/>
      <c r="F7" s="90">
        <f t="shared" si="0"/>
        <v>0</v>
      </c>
    </row>
    <row r="8" spans="1:24" x14ac:dyDescent="0.25">
      <c r="A8">
        <v>6</v>
      </c>
      <c r="B8" s="90"/>
      <c r="C8" s="90"/>
      <c r="D8" s="90"/>
      <c r="E8" s="90"/>
      <c r="F8" s="90">
        <f t="shared" si="0"/>
        <v>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5">
      <c r="A9">
        <v>7</v>
      </c>
      <c r="B9" s="90"/>
      <c r="C9" s="90"/>
      <c r="D9" s="90"/>
      <c r="E9" s="90"/>
      <c r="F9" s="90">
        <f t="shared" si="0"/>
        <v>0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5">
      <c r="A10">
        <v>8</v>
      </c>
      <c r="B10" s="90"/>
      <c r="C10" s="90"/>
      <c r="D10" s="90"/>
      <c r="E10" s="90"/>
      <c r="F10" s="90">
        <f t="shared" si="0"/>
        <v>0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5">
      <c r="A11">
        <v>9</v>
      </c>
      <c r="B11" s="90"/>
      <c r="C11" s="90"/>
      <c r="D11" s="90"/>
      <c r="E11" s="90"/>
      <c r="F11" s="90">
        <f t="shared" si="0"/>
        <v>0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5">
      <c r="A12">
        <v>10</v>
      </c>
      <c r="B12" s="90"/>
      <c r="C12" s="90"/>
      <c r="D12" s="90"/>
      <c r="E12" s="90"/>
      <c r="F12" s="90">
        <f t="shared" si="0"/>
        <v>0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5">
      <c r="A13">
        <v>11</v>
      </c>
      <c r="B13" s="90"/>
      <c r="C13" s="90"/>
      <c r="D13" s="90"/>
      <c r="E13" s="90"/>
      <c r="F13" s="90">
        <f t="shared" si="0"/>
        <v>0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5">
      <c r="A14">
        <v>12</v>
      </c>
      <c r="B14" s="88"/>
      <c r="C14" s="90"/>
      <c r="D14" s="88"/>
      <c r="E14" s="88"/>
      <c r="F14" s="90">
        <f t="shared" si="0"/>
        <v>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5">
      <c r="A15">
        <v>13</v>
      </c>
      <c r="B15" s="88"/>
      <c r="C15" s="88"/>
      <c r="D15" s="88"/>
      <c r="E15" s="88"/>
      <c r="F15" s="90">
        <f t="shared" si="0"/>
        <v>0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5">
      <c r="A16">
        <v>14</v>
      </c>
      <c r="B16" s="88"/>
      <c r="C16" s="88"/>
      <c r="D16" s="88"/>
      <c r="E16" s="88"/>
      <c r="F16" s="90">
        <f t="shared" si="0"/>
        <v>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5">
      <c r="A17">
        <v>15</v>
      </c>
      <c r="B17" s="88"/>
      <c r="C17" s="88"/>
      <c r="D17" s="327"/>
      <c r="E17" s="327"/>
      <c r="F17" s="90">
        <f t="shared" si="0"/>
        <v>0</v>
      </c>
    </row>
    <row r="18" spans="1:21" x14ac:dyDescent="0.25">
      <c r="A18">
        <v>16</v>
      </c>
      <c r="B18" s="88"/>
      <c r="C18" s="88"/>
      <c r="D18" s="327"/>
      <c r="E18" s="327"/>
      <c r="F18" s="90">
        <f t="shared" si="0"/>
        <v>0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5">
      <c r="A19">
        <v>17</v>
      </c>
      <c r="B19" s="88"/>
      <c r="C19" s="88"/>
      <c r="D19" s="327"/>
      <c r="E19" s="327"/>
      <c r="F19" s="90">
        <f t="shared" si="0"/>
        <v>0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5">
      <c r="A20">
        <v>18</v>
      </c>
      <c r="B20" s="327"/>
      <c r="C20" s="327"/>
      <c r="D20" s="327"/>
      <c r="E20" s="327"/>
      <c r="F20" s="90">
        <f t="shared" si="0"/>
        <v>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5">
      <c r="A21">
        <v>19</v>
      </c>
      <c r="B21" s="327"/>
      <c r="C21" s="327"/>
      <c r="D21" s="327"/>
      <c r="E21" s="327"/>
      <c r="F21" s="90">
        <f t="shared" si="0"/>
        <v>0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5">
      <c r="A22">
        <v>20</v>
      </c>
      <c r="B22" s="428"/>
      <c r="C22" s="327"/>
      <c r="D22" s="327"/>
      <c r="E22" s="327"/>
      <c r="F22" s="90">
        <f t="shared" si="0"/>
        <v>0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5">
      <c r="A23">
        <v>21</v>
      </c>
      <c r="B23" s="327"/>
      <c r="C23" s="327"/>
      <c r="D23" s="327"/>
      <c r="E23" s="327"/>
      <c r="F23" s="90">
        <f t="shared" ref="F23:F33" si="2">+E23-D23+C23-B23</f>
        <v>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5">
      <c r="A24">
        <v>22</v>
      </c>
      <c r="B24" s="327"/>
      <c r="C24" s="327"/>
      <c r="D24" s="327"/>
      <c r="E24" s="327"/>
      <c r="F24" s="90">
        <f t="shared" si="2"/>
        <v>0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5">
      <c r="A25">
        <v>23</v>
      </c>
      <c r="B25" s="428"/>
      <c r="C25" s="327"/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5">
      <c r="A26">
        <v>24</v>
      </c>
      <c r="B26" s="327"/>
      <c r="C26" s="327"/>
      <c r="D26" s="327"/>
      <c r="E26" s="327"/>
      <c r="F26" s="90">
        <f t="shared" si="2"/>
        <v>0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5">
      <c r="A27">
        <v>25</v>
      </c>
      <c r="B27" s="327"/>
      <c r="C27" s="327"/>
      <c r="D27" s="327"/>
      <c r="E27" s="327"/>
      <c r="F27" s="90">
        <f t="shared" si="2"/>
        <v>0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5">
      <c r="A28">
        <v>26</v>
      </c>
      <c r="B28" s="327"/>
      <c r="C28" s="327"/>
      <c r="D28" s="14"/>
      <c r="E28" s="14"/>
      <c r="F28" s="90">
        <f t="shared" si="2"/>
        <v>0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5">
      <c r="A29">
        <v>27</v>
      </c>
      <c r="B29" s="327"/>
      <c r="C29" s="327"/>
      <c r="D29" s="14"/>
      <c r="E29" s="14"/>
      <c r="F29" s="90">
        <f t="shared" si="2"/>
        <v>0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5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5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5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5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5">
      <c r="B34" s="287">
        <f>SUM(B3:B33)</f>
        <v>120042</v>
      </c>
      <c r="C34" s="287">
        <f>SUM(C3:C33)</f>
        <v>120199</v>
      </c>
      <c r="D34" s="14">
        <f>SUM(D3:D33)</f>
        <v>0</v>
      </c>
      <c r="E34" s="14">
        <f>SUM(E3:E33)</f>
        <v>-1752</v>
      </c>
      <c r="F34" s="14">
        <f>SUM(F3:F33)</f>
        <v>-1595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1"/>
      <c r="M36" s="259"/>
      <c r="N36" s="259"/>
      <c r="O36" s="259"/>
      <c r="T36" s="259"/>
      <c r="U36" s="259"/>
    </row>
    <row r="37" spans="1:21" x14ac:dyDescent="0.25">
      <c r="A37" s="256">
        <v>37287</v>
      </c>
      <c r="B37" s="14"/>
      <c r="C37" s="14"/>
      <c r="D37" s="14"/>
      <c r="E37" s="14"/>
      <c r="F37" s="486">
        <v>135609</v>
      </c>
      <c r="M37" s="259"/>
      <c r="N37" s="259"/>
      <c r="O37" s="259"/>
      <c r="T37" s="259"/>
      <c r="U37" s="259"/>
    </row>
    <row r="38" spans="1:21" x14ac:dyDescent="0.25">
      <c r="A38" s="580">
        <v>37290</v>
      </c>
      <c r="B38" s="14"/>
      <c r="C38" s="14"/>
      <c r="D38" s="14"/>
      <c r="E38" s="14"/>
      <c r="F38" s="150">
        <f>+F37+F34</f>
        <v>134014</v>
      </c>
      <c r="M38" s="259"/>
      <c r="N38" s="259"/>
      <c r="O38" s="259"/>
    </row>
    <row r="39" spans="1:21" x14ac:dyDescent="0.25">
      <c r="F39" s="290"/>
      <c r="M39" s="259"/>
      <c r="N39" s="259"/>
      <c r="O39" s="259"/>
    </row>
    <row r="40" spans="1:21" x14ac:dyDescent="0.25">
      <c r="F40" s="290"/>
      <c r="I40" s="345"/>
      <c r="M40" s="259"/>
      <c r="N40" s="259"/>
      <c r="O40" s="259"/>
    </row>
    <row r="41" spans="1:21" x14ac:dyDescent="0.25">
      <c r="F41" s="290"/>
      <c r="I41" s="345"/>
      <c r="M41" s="259"/>
      <c r="N41" s="259"/>
      <c r="O41" s="259"/>
    </row>
    <row r="42" spans="1:21" x14ac:dyDescent="0.25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5">
      <c r="A43" s="49">
        <f>+A37</f>
        <v>37287</v>
      </c>
      <c r="B43" s="32"/>
      <c r="C43" s="32"/>
      <c r="D43" s="489">
        <v>338741</v>
      </c>
      <c r="F43" s="290"/>
      <c r="G43" s="31"/>
      <c r="I43" s="345"/>
      <c r="M43" s="259"/>
      <c r="N43" s="259"/>
      <c r="O43" s="259"/>
    </row>
    <row r="44" spans="1:21" x14ac:dyDescent="0.25">
      <c r="A44" s="49">
        <f>+A38</f>
        <v>37290</v>
      </c>
      <c r="B44" s="32"/>
      <c r="C44" s="32"/>
      <c r="D44" s="375">
        <f>+F34*'by type_area'!G4</f>
        <v>-3285.7000000000003</v>
      </c>
      <c r="F44" s="290"/>
      <c r="I44" s="345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335455.3</v>
      </c>
      <c r="F45" s="290"/>
      <c r="I45" s="503"/>
      <c r="M45" s="259"/>
      <c r="N45" s="259"/>
      <c r="O45" s="259"/>
    </row>
    <row r="46" spans="1:21" x14ac:dyDescent="0.25">
      <c r="F46" s="290"/>
      <c r="I46" s="345"/>
      <c r="M46" s="259"/>
      <c r="N46" s="259"/>
      <c r="O46" s="259"/>
    </row>
    <row r="47" spans="1:21" x14ac:dyDescent="0.25">
      <c r="F47" s="290"/>
      <c r="M47" s="259"/>
      <c r="N47" s="259"/>
      <c r="O47" s="259"/>
    </row>
    <row r="48" spans="1:21" x14ac:dyDescent="0.25">
      <c r="F48" s="290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4" workbookViewId="0">
      <selection activeCell="C28" sqref="C28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5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5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5">
      <c r="A7" s="10">
        <v>4</v>
      </c>
      <c r="B7" s="11"/>
      <c r="C7" s="11"/>
      <c r="D7" s="25">
        <f t="shared" si="0"/>
        <v>0</v>
      </c>
    </row>
    <row r="8" spans="1:4" x14ac:dyDescent="0.25">
      <c r="A8" s="10">
        <v>5</v>
      </c>
      <c r="B8" s="11"/>
      <c r="C8" s="11"/>
      <c r="D8" s="25">
        <f t="shared" si="0"/>
        <v>0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8" x14ac:dyDescent="0.25">
      <c r="A17" s="10">
        <v>14</v>
      </c>
      <c r="B17" s="11"/>
      <c r="C17" s="11"/>
      <c r="D17" s="25">
        <f t="shared" si="0"/>
        <v>0</v>
      </c>
    </row>
    <row r="18" spans="1:8" x14ac:dyDescent="0.25">
      <c r="A18" s="10">
        <v>15</v>
      </c>
      <c r="B18" s="11"/>
      <c r="C18" s="11"/>
      <c r="D18" s="25">
        <f t="shared" si="0"/>
        <v>0</v>
      </c>
    </row>
    <row r="19" spans="1:8" x14ac:dyDescent="0.25">
      <c r="A19" s="10">
        <v>16</v>
      </c>
      <c r="B19" s="11"/>
      <c r="C19" s="11"/>
      <c r="D19" s="25">
        <f t="shared" si="0"/>
        <v>0</v>
      </c>
    </row>
    <row r="20" spans="1:8" x14ac:dyDescent="0.25">
      <c r="A20" s="10">
        <v>17</v>
      </c>
      <c r="B20" s="11"/>
      <c r="C20" s="11"/>
      <c r="D20" s="25">
        <f t="shared" si="0"/>
        <v>0</v>
      </c>
    </row>
    <row r="21" spans="1:8" x14ac:dyDescent="0.25">
      <c r="A21" s="10">
        <v>18</v>
      </c>
      <c r="B21" s="11"/>
      <c r="C21" s="11"/>
      <c r="D21" s="25">
        <f t="shared" si="0"/>
        <v>0</v>
      </c>
    </row>
    <row r="22" spans="1:8" x14ac:dyDescent="0.25">
      <c r="A22" s="10">
        <v>19</v>
      </c>
      <c r="B22" s="11"/>
      <c r="C22" s="11"/>
      <c r="D22" s="25">
        <f t="shared" si="0"/>
        <v>0</v>
      </c>
    </row>
    <row r="23" spans="1:8" x14ac:dyDescent="0.25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5">
      <c r="A24" s="10">
        <v>21</v>
      </c>
      <c r="B24" s="11"/>
      <c r="C24" s="11"/>
      <c r="D24" s="25">
        <f t="shared" si="0"/>
        <v>0</v>
      </c>
      <c r="F24" s="25"/>
    </row>
    <row r="25" spans="1:8" x14ac:dyDescent="0.25">
      <c r="A25" s="10">
        <v>22</v>
      </c>
      <c r="B25" s="11"/>
      <c r="C25" s="11"/>
      <c r="D25" s="25">
        <f t="shared" si="0"/>
        <v>0</v>
      </c>
      <c r="F25" s="25"/>
    </row>
    <row r="26" spans="1:8" x14ac:dyDescent="0.25">
      <c r="A26" s="10">
        <v>23</v>
      </c>
      <c r="B26" s="11"/>
      <c r="C26" s="11"/>
      <c r="D26" s="25">
        <f t="shared" si="0"/>
        <v>0</v>
      </c>
      <c r="F26" s="25"/>
    </row>
    <row r="27" spans="1:8" x14ac:dyDescent="0.25">
      <c r="A27" s="10">
        <v>24</v>
      </c>
      <c r="B27" s="11"/>
      <c r="C27" s="11"/>
      <c r="D27" s="25">
        <f t="shared" si="0"/>
        <v>0</v>
      </c>
    </row>
    <row r="28" spans="1:8" x14ac:dyDescent="0.25">
      <c r="A28" s="10">
        <v>25</v>
      </c>
      <c r="B28" s="11"/>
      <c r="C28" s="11"/>
      <c r="D28" s="25">
        <f t="shared" si="0"/>
        <v>0</v>
      </c>
    </row>
    <row r="29" spans="1:8" x14ac:dyDescent="0.25">
      <c r="A29" s="10">
        <v>26</v>
      </c>
      <c r="B29" s="11"/>
      <c r="C29" s="11"/>
      <c r="D29" s="25">
        <f t="shared" si="0"/>
        <v>0</v>
      </c>
    </row>
    <row r="30" spans="1:8" x14ac:dyDescent="0.25">
      <c r="A30" s="10">
        <v>27</v>
      </c>
      <c r="B30" s="11"/>
      <c r="C30" s="11"/>
      <c r="D30" s="25">
        <f t="shared" si="0"/>
        <v>0</v>
      </c>
    </row>
    <row r="31" spans="1:8" x14ac:dyDescent="0.25">
      <c r="A31" s="10">
        <v>28</v>
      </c>
      <c r="B31" s="11"/>
      <c r="C31" s="11"/>
      <c r="D31" s="25">
        <f t="shared" si="0"/>
        <v>0</v>
      </c>
    </row>
    <row r="32" spans="1:8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-61740</v>
      </c>
      <c r="C35" s="11">
        <f>SUM(C4:C34)</f>
        <v>-59880</v>
      </c>
      <c r="D35" s="11">
        <f>SUM(D4:D34)</f>
        <v>1860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37287</v>
      </c>
      <c r="D38" s="493">
        <v>177959</v>
      </c>
    </row>
    <row r="39" spans="1:4" x14ac:dyDescent="0.25">
      <c r="A39" s="2"/>
      <c r="D39" s="24"/>
    </row>
    <row r="40" spans="1:4" x14ac:dyDescent="0.25">
      <c r="A40" s="57">
        <v>37290</v>
      </c>
      <c r="D40" s="51">
        <f>+D38+D35</f>
        <v>179819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37287</v>
      </c>
      <c r="B45" s="32"/>
      <c r="C45" s="32"/>
      <c r="D45" s="492">
        <v>181376</v>
      </c>
    </row>
    <row r="46" spans="1:4" x14ac:dyDescent="0.25">
      <c r="A46" s="49">
        <f>+A40</f>
        <v>37290</v>
      </c>
      <c r="B46" s="32"/>
      <c r="C46" s="32"/>
      <c r="D46" s="375">
        <f>+D35*'by type_area'!G4</f>
        <v>3831.6</v>
      </c>
    </row>
    <row r="47" spans="1:4" x14ac:dyDescent="0.25">
      <c r="A47" s="32"/>
      <c r="B47" s="32"/>
      <c r="C47" s="32"/>
      <c r="D47" s="200">
        <f>+D46+D45</f>
        <v>185207.6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B27" sqref="B27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/>
      <c r="C4" s="11"/>
      <c r="D4" s="11"/>
      <c r="E4" s="11"/>
      <c r="F4" s="11"/>
      <c r="G4" s="11"/>
      <c r="H4" s="11"/>
      <c r="I4" s="11"/>
      <c r="J4" s="11">
        <f t="shared" ref="J4:J34" si="0">+C4+E4+G4+I4-H4-F4-D4-B4</f>
        <v>0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/>
      <c r="C5" s="11"/>
      <c r="D5" s="11"/>
      <c r="E5" s="11"/>
      <c r="F5" s="11"/>
      <c r="G5" s="11"/>
      <c r="H5" s="11"/>
      <c r="I5" s="11"/>
      <c r="J5" s="11">
        <f t="shared" si="0"/>
        <v>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/>
      <c r="C6" s="11"/>
      <c r="D6" s="11"/>
      <c r="E6" s="11"/>
      <c r="F6" s="11"/>
      <c r="G6" s="11"/>
      <c r="H6" s="11"/>
      <c r="I6" s="11"/>
      <c r="J6" s="11">
        <f t="shared" si="0"/>
        <v>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0</v>
      </c>
      <c r="C35" s="11">
        <f t="shared" ref="C35:I35" si="1">SUM(C4:C34)</f>
        <v>0</v>
      </c>
      <c r="D35" s="11">
        <f t="shared" si="1"/>
        <v>0</v>
      </c>
      <c r="E35" s="11">
        <f t="shared" si="1"/>
        <v>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0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2.06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0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37287</v>
      </c>
      <c r="C39" s="25"/>
      <c r="E39" s="25"/>
      <c r="G39" s="25"/>
      <c r="I39" s="25"/>
      <c r="J39" s="533">
        <v>18980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37287</v>
      </c>
      <c r="J41" s="319">
        <f>+J39+J37</f>
        <v>18980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37287</v>
      </c>
      <c r="B46" s="32"/>
      <c r="C46" s="32"/>
      <c r="D46" s="523">
        <v>-18594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37287</v>
      </c>
      <c r="B47" s="32"/>
      <c r="C47" s="32"/>
      <c r="D47" s="350">
        <f>+J35</f>
        <v>0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-18594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F43" sqref="F43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307</v>
      </c>
      <c r="H4" s="14" t="s">
        <v>306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305</v>
      </c>
      <c r="I5" s="14" t="s">
        <v>308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-12127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-3520</v>
      </c>
      <c r="H9" s="14">
        <v>-19935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>
        <v>0</v>
      </c>
      <c r="H10" s="14">
        <v>-14532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0</v>
      </c>
      <c r="H11" s="14">
        <v>-10057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>
        <v>0</v>
      </c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>
        <v>0</v>
      </c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0</v>
      </c>
      <c r="H16" s="14">
        <v>-25098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0</v>
      </c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-2931</v>
      </c>
      <c r="H18" s="14">
        <v>-11558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0</v>
      </c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-14217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-28277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-28905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-19350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-14323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-18186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-13798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23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-14811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-16076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2.06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E40" s="14"/>
      <c r="F40" s="522">
        <v>295806.83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37287</v>
      </c>
      <c r="E41" s="14"/>
      <c r="F41" s="104">
        <f>+F40+F39</f>
        <v>295806.83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-53608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37287</v>
      </c>
      <c r="B47" s="32"/>
      <c r="C47" s="32"/>
      <c r="D47" s="350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-53608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E11" sqref="E11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5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5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195</v>
      </c>
      <c r="F39" s="25">
        <f>SUM(F8:F38)</f>
        <v>195</v>
      </c>
    </row>
    <row r="40" spans="1:6" x14ac:dyDescent="0.25">
      <c r="A40" s="26"/>
      <c r="C40" s="14"/>
      <c r="F40" s="253">
        <f>+summary!G4</f>
        <v>2.06</v>
      </c>
    </row>
    <row r="41" spans="1:6" x14ac:dyDescent="0.25">
      <c r="F41" s="138">
        <f>+F40*F39</f>
        <v>401.7</v>
      </c>
    </row>
    <row r="42" spans="1:6" x14ac:dyDescent="0.25">
      <c r="A42" s="57">
        <v>37287</v>
      </c>
      <c r="C42" s="15"/>
      <c r="F42" s="495">
        <v>27090</v>
      </c>
    </row>
    <row r="43" spans="1:6" x14ac:dyDescent="0.25">
      <c r="A43" s="57">
        <v>37290</v>
      </c>
      <c r="C43" s="48"/>
      <c r="F43" s="138">
        <f>+F42+F41</f>
        <v>27491.7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37287</v>
      </c>
      <c r="B48" s="32"/>
      <c r="C48" s="32"/>
      <c r="D48" s="490">
        <v>-2700</v>
      </c>
    </row>
    <row r="49" spans="1:4" x14ac:dyDescent="0.25">
      <c r="A49" s="49">
        <f>+A43</f>
        <v>37290</v>
      </c>
      <c r="B49" s="32"/>
      <c r="C49" s="32"/>
      <c r="D49" s="350">
        <f>+F39</f>
        <v>195</v>
      </c>
    </row>
    <row r="50" spans="1:4" x14ac:dyDescent="0.25">
      <c r="A50" s="32"/>
      <c r="B50" s="32"/>
      <c r="C50" s="32"/>
      <c r="D50" s="14">
        <f>+D49+D48</f>
        <v>-2505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50"/>
    </row>
    <row r="41" spans="1:4" x14ac:dyDescent="0.25">
      <c r="A41" s="57">
        <v>37287</v>
      </c>
      <c r="C41" s="15"/>
      <c r="D41" s="457">
        <v>17587</v>
      </c>
    </row>
    <row r="42" spans="1:4" x14ac:dyDescent="0.25">
      <c r="A42" s="57">
        <v>37290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37287</v>
      </c>
      <c r="B47" s="32"/>
      <c r="C47" s="32"/>
      <c r="D47" s="461">
        <v>385897</v>
      </c>
    </row>
    <row r="48" spans="1:4" x14ac:dyDescent="0.25">
      <c r="A48" s="49">
        <f>+A42</f>
        <v>37290</v>
      </c>
      <c r="B48" s="32"/>
      <c r="C48" s="32"/>
      <c r="D48" s="375">
        <f>+D39*summary!G4</f>
        <v>0</v>
      </c>
    </row>
    <row r="49" spans="1:4" x14ac:dyDescent="0.25">
      <c r="A49" s="32"/>
      <c r="B49" s="32"/>
      <c r="C49" s="32"/>
      <c r="D49" s="200">
        <f>+D48+D47</f>
        <v>385897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3" workbookViewId="0">
      <selection activeCell="A41" sqref="A41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5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-42710</v>
      </c>
      <c r="C8" s="11">
        <v>-40000</v>
      </c>
      <c r="D8" s="25">
        <f t="shared" si="0"/>
        <v>2710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/>
      <c r="C15" s="11"/>
      <c r="D15" s="25">
        <f t="shared" si="0"/>
        <v>0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5">
      <c r="A16" s="10">
        <v>11</v>
      </c>
      <c r="B16" s="11"/>
      <c r="C16" s="11"/>
      <c r="D16" s="25">
        <f t="shared" si="0"/>
        <v>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-127493</v>
      </c>
      <c r="I19" s="119">
        <f>+C37</f>
        <v>-119000</v>
      </c>
      <c r="J19" s="119">
        <f>+I19-H19</f>
        <v>8493</v>
      </c>
      <c r="K19" s="412">
        <f>+D38</f>
        <v>2.06</v>
      </c>
      <c r="L19" s="417">
        <f>+K19*J19</f>
        <v>17495.580000000002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138985</v>
      </c>
      <c r="K24" s="408"/>
      <c r="L24" s="110">
        <f>+L19+L17</f>
        <v>99180.679999999833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08"/>
      <c r="L26" s="24">
        <f>+L24/K19</f>
        <v>48145.961165048458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8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8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-127493</v>
      </c>
      <c r="C37" s="11">
        <f>SUM(C6:C36)</f>
        <v>-119000</v>
      </c>
      <c r="D37" s="25">
        <f>SUM(D6:D36)</f>
        <v>8493</v>
      </c>
    </row>
    <row r="38" spans="1:4" x14ac:dyDescent="0.25">
      <c r="A38" s="26"/>
      <c r="C38" s="14"/>
      <c r="D38" s="326">
        <f>+summary!G4</f>
        <v>2.06</v>
      </c>
    </row>
    <row r="39" spans="1:4" x14ac:dyDescent="0.25">
      <c r="D39" s="138">
        <f>+D38*D37</f>
        <v>17495.580000000002</v>
      </c>
    </row>
    <row r="40" spans="1:4" x14ac:dyDescent="0.25">
      <c r="A40" s="57">
        <v>37287</v>
      </c>
      <c r="C40" s="15"/>
      <c r="D40" s="528">
        <v>-2220</v>
      </c>
    </row>
    <row r="41" spans="1:4" x14ac:dyDescent="0.25">
      <c r="A41" s="57">
        <v>37290</v>
      </c>
      <c r="C41" s="48"/>
      <c r="D41" s="138">
        <f>+D40+D39</f>
        <v>15275.580000000002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523">
        <v>86032</v>
      </c>
    </row>
    <row r="46" spans="1:4" x14ac:dyDescent="0.25">
      <c r="A46" s="49">
        <f>+A41</f>
        <v>37290</v>
      </c>
      <c r="B46" s="32"/>
      <c r="C46" s="32"/>
      <c r="D46" s="350">
        <f>+D37</f>
        <v>8493</v>
      </c>
    </row>
    <row r="47" spans="1:4" x14ac:dyDescent="0.25">
      <c r="A47" s="32"/>
      <c r="B47" s="32"/>
      <c r="C47" s="32"/>
      <c r="D47" s="14">
        <f>+D46+D45</f>
        <v>94525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" workbookViewId="0">
      <selection activeCell="C42" sqref="C42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5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5">
      <c r="A8" s="10">
        <v>3</v>
      </c>
      <c r="B8" s="11">
        <v>27386</v>
      </c>
      <c r="C8" s="11">
        <v>31394</v>
      </c>
      <c r="D8" s="25">
        <f t="shared" si="0"/>
        <v>4008</v>
      </c>
    </row>
    <row r="9" spans="1:5" x14ac:dyDescent="0.25">
      <c r="A9" s="10">
        <v>4</v>
      </c>
      <c r="B9" s="11"/>
      <c r="C9" s="11"/>
      <c r="D9" s="25">
        <f t="shared" si="0"/>
        <v>0</v>
      </c>
    </row>
    <row r="10" spans="1:5" x14ac:dyDescent="0.25">
      <c r="A10" s="10">
        <v>5</v>
      </c>
      <c r="B10" s="11"/>
      <c r="C10" s="11"/>
      <c r="D10" s="25">
        <f t="shared" si="0"/>
        <v>0</v>
      </c>
    </row>
    <row r="11" spans="1:5" x14ac:dyDescent="0.25">
      <c r="A11" s="10">
        <v>6</v>
      </c>
      <c r="B11" s="129"/>
      <c r="C11" s="11"/>
      <c r="D11" s="25">
        <f t="shared" si="0"/>
        <v>0</v>
      </c>
    </row>
    <row r="12" spans="1:5" x14ac:dyDescent="0.25">
      <c r="A12" s="10">
        <v>7</v>
      </c>
      <c r="B12" s="129"/>
      <c r="C12" s="11"/>
      <c r="D12" s="25">
        <f t="shared" si="0"/>
        <v>0</v>
      </c>
    </row>
    <row r="13" spans="1:5" x14ac:dyDescent="0.25">
      <c r="A13" s="10">
        <v>8</v>
      </c>
      <c r="B13" s="129"/>
      <c r="C13" s="11"/>
      <c r="D13" s="25">
        <f t="shared" si="0"/>
        <v>0</v>
      </c>
    </row>
    <row r="14" spans="1:5" x14ac:dyDescent="0.25">
      <c r="A14" s="10">
        <v>9</v>
      </c>
      <c r="B14" s="129"/>
      <c r="C14" s="11"/>
      <c r="D14" s="25">
        <f t="shared" si="0"/>
        <v>0</v>
      </c>
    </row>
    <row r="15" spans="1:5" x14ac:dyDescent="0.25">
      <c r="A15" s="10">
        <v>10</v>
      </c>
      <c r="B15" s="129"/>
      <c r="C15" s="11"/>
      <c r="D15" s="25">
        <f t="shared" si="0"/>
        <v>0</v>
      </c>
    </row>
    <row r="16" spans="1:5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84936</v>
      </c>
      <c r="C37" s="11">
        <f>SUM(C6:C36)</f>
        <v>94306</v>
      </c>
      <c r="D37" s="25">
        <f>SUM(D6:D36)</f>
        <v>9370</v>
      </c>
    </row>
    <row r="38" spans="1:4" x14ac:dyDescent="0.25">
      <c r="A38" s="26"/>
      <c r="B38" s="31"/>
      <c r="C38" s="14"/>
      <c r="D38" s="326">
        <f>+summary!G5</f>
        <v>2.06</v>
      </c>
    </row>
    <row r="39" spans="1:4" x14ac:dyDescent="0.25">
      <c r="D39" s="138">
        <f>+D38*D37</f>
        <v>19302.2</v>
      </c>
    </row>
    <row r="40" spans="1:4" x14ac:dyDescent="0.25">
      <c r="A40" s="57">
        <v>37287</v>
      </c>
      <c r="C40" s="15"/>
      <c r="D40" s="528">
        <v>100993</v>
      </c>
    </row>
    <row r="41" spans="1:4" x14ac:dyDescent="0.25">
      <c r="A41" s="57">
        <v>37290</v>
      </c>
      <c r="C41" s="48"/>
      <c r="D41" s="138">
        <f>+D40+D39</f>
        <v>120295.2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523">
        <v>62232</v>
      </c>
    </row>
    <row r="46" spans="1:4" x14ac:dyDescent="0.25">
      <c r="A46" s="49">
        <f>+A41</f>
        <v>37290</v>
      </c>
      <c r="B46" s="32"/>
      <c r="C46" s="32"/>
      <c r="D46" s="350">
        <f>+D37</f>
        <v>9370</v>
      </c>
    </row>
    <row r="47" spans="1:4" x14ac:dyDescent="0.25">
      <c r="A47" s="32"/>
      <c r="B47" s="32"/>
      <c r="C47" s="32"/>
      <c r="D47" s="14">
        <f>+D46+D45</f>
        <v>71602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I30" sqref="I30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7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138449</v>
      </c>
      <c r="I4" s="11">
        <v>132994</v>
      </c>
      <c r="J4" s="11">
        <f t="shared" ref="J4:J34" si="0">+C4+E4+G4+I4-H4-F4-D4-B4</f>
        <v>-7218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327137</v>
      </c>
      <c r="C6" s="11">
        <v>330848</v>
      </c>
      <c r="D6" s="11">
        <v>45017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-2214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1002745</v>
      </c>
      <c r="C35" s="11">
        <f t="shared" ref="C35:I35" si="3">SUM(C4:C34)</f>
        <v>1010843</v>
      </c>
      <c r="D35" s="11">
        <f t="shared" si="3"/>
        <v>134902</v>
      </c>
      <c r="E35" s="11">
        <f t="shared" si="3"/>
        <v>120731</v>
      </c>
      <c r="F35" s="11">
        <f t="shared" si="3"/>
        <v>106166</v>
      </c>
      <c r="G35" s="11">
        <f t="shared" si="3"/>
        <v>116083</v>
      </c>
      <c r="H35" s="11">
        <f t="shared" si="3"/>
        <v>355757</v>
      </c>
      <c r="I35" s="11">
        <f t="shared" si="3"/>
        <v>342212</v>
      </c>
      <c r="J35" s="11">
        <f>SUM(J4:J34)</f>
        <v>-9701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5">
      <c r="A38" s="56">
        <v>37287</v>
      </c>
      <c r="C38" s="25"/>
      <c r="E38" s="25"/>
      <c r="G38" s="25"/>
      <c r="I38" s="25"/>
      <c r="J38" s="488">
        <v>3060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5">
      <c r="A40" s="33">
        <v>37290</v>
      </c>
      <c r="J40" s="51">
        <f>+J38+J35</f>
        <v>-6641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37287</v>
      </c>
      <c r="B46" s="32"/>
      <c r="C46" s="32"/>
      <c r="D46" s="487">
        <v>6334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37290</v>
      </c>
      <c r="B47" s="32"/>
      <c r="C47" s="32"/>
      <c r="D47" s="375">
        <f>+J35*'by type_area'!G3</f>
        <v>-19984.060000000001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-13650.060000000001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5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5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9"/>
      <c r="S295" s="1"/>
    </row>
    <row r="296" spans="9:21" x14ac:dyDescent="0.25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9"/>
      <c r="S337" s="1"/>
    </row>
    <row r="338" spans="11:21" x14ac:dyDescent="0.25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9"/>
      <c r="S379" s="1"/>
    </row>
    <row r="380" spans="11:21" x14ac:dyDescent="0.25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9"/>
      <c r="S423" s="1"/>
    </row>
    <row r="424" spans="11:21" x14ac:dyDescent="0.25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>
      <selection activeCell="C9" sqref="C9"/>
    </sheetView>
  </sheetViews>
  <sheetFormatPr defaultRowHeight="13.2" x14ac:dyDescent="0.25"/>
  <sheetData>
    <row r="3" spans="1:4" ht="13.8" x14ac:dyDescent="0.25">
      <c r="A3" s="134"/>
      <c r="B3" s="34" t="s">
        <v>131</v>
      </c>
    </row>
    <row r="4" spans="1:4" x14ac:dyDescent="0.25">
      <c r="A4" s="3"/>
      <c r="B4" s="59" t="s">
        <v>132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46181</v>
      </c>
      <c r="C6" s="11">
        <v>46125</v>
      </c>
      <c r="D6" s="25">
        <f>+C6-B6</f>
        <v>-56</v>
      </c>
    </row>
    <row r="7" spans="1:4" x14ac:dyDescent="0.25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4" x14ac:dyDescent="0.25">
      <c r="A8" s="10">
        <v>3</v>
      </c>
      <c r="B8" s="11">
        <v>45365</v>
      </c>
      <c r="C8" s="11">
        <v>45393</v>
      </c>
      <c r="D8" s="25">
        <f t="shared" si="0"/>
        <v>28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136856</v>
      </c>
      <c r="C37" s="11">
        <f>SUM(C6:C36)</f>
        <v>137019</v>
      </c>
      <c r="D37" s="25">
        <f>SUM(D6:D36)</f>
        <v>163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335.78000000000003</v>
      </c>
    </row>
    <row r="40" spans="1:4" x14ac:dyDescent="0.25">
      <c r="A40" s="57">
        <v>37287</v>
      </c>
      <c r="C40" s="15"/>
      <c r="D40" s="531">
        <v>4386</v>
      </c>
    </row>
    <row r="41" spans="1:4" x14ac:dyDescent="0.25">
      <c r="A41" s="57">
        <v>37290</v>
      </c>
      <c r="C41" s="48"/>
      <c r="D41" s="138">
        <f>+D40+D39</f>
        <v>4721.78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23">
        <v>1925</v>
      </c>
    </row>
    <row r="47" spans="1:4" x14ac:dyDescent="0.25">
      <c r="A47" s="49">
        <f>+A41</f>
        <v>37290</v>
      </c>
      <c r="B47" s="32"/>
      <c r="C47" s="32"/>
      <c r="D47" s="350">
        <f>+D37</f>
        <v>163</v>
      </c>
    </row>
    <row r="48" spans="1:4" x14ac:dyDescent="0.25">
      <c r="A48" s="32"/>
      <c r="B48" s="32"/>
      <c r="C48" s="32"/>
      <c r="D48" s="14">
        <f>+D47+D46</f>
        <v>2088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C32" sqref="C32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5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5">
      <c r="A8" s="10">
        <v>3</v>
      </c>
      <c r="B8" s="11">
        <v>-652</v>
      </c>
      <c r="C8" s="11">
        <v>-657</v>
      </c>
      <c r="D8" s="25">
        <f t="shared" si="0"/>
        <v>-5</v>
      </c>
    </row>
    <row r="9" spans="1:13" x14ac:dyDescent="0.25">
      <c r="A9" s="10">
        <v>4</v>
      </c>
      <c r="B9" s="11"/>
      <c r="C9" s="11"/>
      <c r="D9" s="25">
        <f t="shared" si="0"/>
        <v>0</v>
      </c>
    </row>
    <row r="10" spans="1:13" x14ac:dyDescent="0.25">
      <c r="A10" s="10">
        <v>5</v>
      </c>
      <c r="B10" s="11"/>
      <c r="C10" s="11"/>
      <c r="D10" s="25">
        <f t="shared" si="0"/>
        <v>0</v>
      </c>
    </row>
    <row r="11" spans="1:13" x14ac:dyDescent="0.25">
      <c r="A11" s="10">
        <v>6</v>
      </c>
      <c r="B11" s="11"/>
      <c r="C11" s="11"/>
      <c r="D11" s="25">
        <f t="shared" si="0"/>
        <v>0</v>
      </c>
    </row>
    <row r="12" spans="1:13" x14ac:dyDescent="0.25">
      <c r="A12" s="10">
        <v>7</v>
      </c>
      <c r="B12" s="11"/>
      <c r="C12" s="11"/>
      <c r="D12" s="25">
        <f t="shared" si="0"/>
        <v>0</v>
      </c>
    </row>
    <row r="13" spans="1:13" x14ac:dyDescent="0.25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12" t="s">
        <v>174</v>
      </c>
      <c r="M13" s="189"/>
    </row>
    <row r="14" spans="1:13" x14ac:dyDescent="0.25">
      <c r="A14" s="10">
        <v>9</v>
      </c>
      <c r="B14" s="11"/>
      <c r="C14" s="11"/>
      <c r="D14" s="25">
        <f t="shared" si="0"/>
        <v>0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5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-684</v>
      </c>
      <c r="C37" s="11">
        <f>SUM(C6:C36)</f>
        <v>-1306</v>
      </c>
      <c r="D37" s="25">
        <f>SUM(D6:D36)</f>
        <v>-622</v>
      </c>
    </row>
    <row r="38" spans="1:4" x14ac:dyDescent="0.25">
      <c r="A38" s="26"/>
      <c r="C38" s="14"/>
      <c r="D38" s="326">
        <f>+summary!G4</f>
        <v>2.06</v>
      </c>
    </row>
    <row r="39" spans="1:4" x14ac:dyDescent="0.25">
      <c r="D39" s="138">
        <f>+D38*D37</f>
        <v>-1281.32</v>
      </c>
    </row>
    <row r="40" spans="1:4" x14ac:dyDescent="0.25">
      <c r="A40" s="57">
        <v>37287</v>
      </c>
      <c r="C40" s="15"/>
      <c r="D40" s="528">
        <v>-292829</v>
      </c>
    </row>
    <row r="41" spans="1:4" x14ac:dyDescent="0.25">
      <c r="A41" s="57">
        <v>37290</v>
      </c>
      <c r="C41" s="48"/>
      <c r="D41" s="138">
        <f>+D40+D39</f>
        <v>-294110.32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37287</v>
      </c>
      <c r="B48" s="32"/>
      <c r="C48" s="32"/>
      <c r="D48" s="523">
        <v>-14344</v>
      </c>
    </row>
    <row r="49" spans="1:4" x14ac:dyDescent="0.25">
      <c r="A49" s="49">
        <f>+A41</f>
        <v>37290</v>
      </c>
      <c r="B49" s="32"/>
      <c r="C49" s="32"/>
      <c r="D49" s="350">
        <f>+D37</f>
        <v>-622</v>
      </c>
    </row>
    <row r="50" spans="1:4" x14ac:dyDescent="0.25">
      <c r="A50" s="32"/>
      <c r="B50" s="32"/>
      <c r="C50" s="32"/>
      <c r="D50" s="14">
        <f>+D49+D48</f>
        <v>-14966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40" sqref="C4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5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5">
      <c r="A8" s="10">
        <v>3</v>
      </c>
      <c r="B8" s="129">
        <v>-38014</v>
      </c>
      <c r="C8" s="11">
        <v>-45943</v>
      </c>
      <c r="D8" s="25">
        <f t="shared" si="0"/>
        <v>-7929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-166894</v>
      </c>
      <c r="C37" s="11">
        <f>SUM(C6:C36)</f>
        <v>-161869</v>
      </c>
      <c r="D37" s="25">
        <f>SUM(D6:D36)</f>
        <v>5025</v>
      </c>
    </row>
    <row r="38" spans="1:4" x14ac:dyDescent="0.25">
      <c r="A38" s="26"/>
      <c r="C38" s="14"/>
      <c r="D38" s="326">
        <f>+summary!G4</f>
        <v>2.06</v>
      </c>
    </row>
    <row r="39" spans="1:4" x14ac:dyDescent="0.25">
      <c r="D39" s="138">
        <f>+D38*D37</f>
        <v>10351.5</v>
      </c>
    </row>
    <row r="40" spans="1:4" x14ac:dyDescent="0.25">
      <c r="A40" s="57">
        <v>37287</v>
      </c>
      <c r="C40" s="15"/>
      <c r="D40" s="528">
        <v>21548</v>
      </c>
    </row>
    <row r="41" spans="1:4" x14ac:dyDescent="0.25">
      <c r="A41" s="57">
        <v>37290</v>
      </c>
      <c r="C41" s="48"/>
      <c r="D41" s="138">
        <f>+D40+D39</f>
        <v>31899.5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23">
        <v>13942</v>
      </c>
    </row>
    <row r="47" spans="1:4" x14ac:dyDescent="0.25">
      <c r="A47" s="49">
        <f>+A41</f>
        <v>37290</v>
      </c>
      <c r="B47" s="32"/>
      <c r="C47" s="32"/>
      <c r="D47" s="350">
        <f>+D37</f>
        <v>5025</v>
      </c>
    </row>
    <row r="48" spans="1:4" x14ac:dyDescent="0.25">
      <c r="A48" s="32"/>
      <c r="B48" s="32"/>
      <c r="C48" s="32"/>
      <c r="D48" s="14">
        <f>+D47+D46</f>
        <v>18967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B5" sqref="B5:C10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/>
      <c r="C5" s="90"/>
      <c r="D5" s="90">
        <f>+C5-B5</f>
        <v>0</v>
      </c>
      <c r="E5" s="275"/>
      <c r="F5" s="273"/>
    </row>
    <row r="6" spans="1:13" x14ac:dyDescent="0.25">
      <c r="A6" s="87">
        <v>500046</v>
      </c>
      <c r="B6" s="90"/>
      <c r="C6" s="90"/>
      <c r="D6" s="90">
        <f t="shared" ref="D6:D11" si="0">+C6-B6</f>
        <v>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/>
      <c r="C8" s="90"/>
      <c r="D8" s="90">
        <f t="shared" si="0"/>
        <v>0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0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2.06</v>
      </c>
      <c r="E13" s="277"/>
      <c r="F13" s="273"/>
    </row>
    <row r="14" spans="1:13" x14ac:dyDescent="0.25">
      <c r="A14" s="87"/>
      <c r="B14" s="88"/>
      <c r="C14" s="88"/>
      <c r="D14" s="96">
        <f>+D13*D12</f>
        <v>0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37287</v>
      </c>
      <c r="B16" s="88"/>
      <c r="C16" s="88"/>
      <c r="D16" s="529">
        <v>-550339.18999999994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37287</v>
      </c>
      <c r="B18" s="88"/>
      <c r="C18" s="88"/>
      <c r="D18" s="318">
        <f>+D16+D14</f>
        <v>-550339.18999999994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37287</v>
      </c>
      <c r="B22" s="32"/>
      <c r="C22" s="32"/>
      <c r="D22" s="523">
        <v>-42903</v>
      </c>
    </row>
    <row r="23" spans="1:7" x14ac:dyDescent="0.25">
      <c r="A23" s="49"/>
      <c r="B23" s="32"/>
      <c r="C23" s="32"/>
      <c r="D23" s="350">
        <f>+D12</f>
        <v>0</v>
      </c>
    </row>
    <row r="24" spans="1:7" x14ac:dyDescent="0.25">
      <c r="A24" s="49">
        <f>+A18</f>
        <v>37287</v>
      </c>
      <c r="B24" s="32"/>
      <c r="C24" s="32"/>
      <c r="D24" s="14">
        <f>+D23+D22</f>
        <v>-42903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C32" sqref="C32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5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5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-144803</v>
      </c>
      <c r="C37" s="11">
        <f>SUM(C6:C36)</f>
        <v>-144378</v>
      </c>
      <c r="D37" s="25">
        <f>SUM(D6:D36)</f>
        <v>425</v>
      </c>
    </row>
    <row r="38" spans="1:4" x14ac:dyDescent="0.25">
      <c r="A38" s="26"/>
      <c r="C38" s="14"/>
      <c r="D38" s="339"/>
    </row>
    <row r="39" spans="1:4" x14ac:dyDescent="0.25">
      <c r="D39" s="138"/>
    </row>
    <row r="40" spans="1:4" x14ac:dyDescent="0.25">
      <c r="A40" s="57">
        <v>37287</v>
      </c>
      <c r="C40" s="15"/>
      <c r="D40" s="488">
        <v>-3066</v>
      </c>
    </row>
    <row r="41" spans="1:4" x14ac:dyDescent="0.25">
      <c r="A41" s="57">
        <v>37290</v>
      </c>
      <c r="C41" s="48"/>
      <c r="D41" s="25">
        <f>+D40+D37</f>
        <v>-2641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37287</v>
      </c>
      <c r="B45" s="32"/>
      <c r="C45" s="32"/>
      <c r="D45" s="487">
        <v>186633</v>
      </c>
    </row>
    <row r="46" spans="1:4" x14ac:dyDescent="0.25">
      <c r="A46" s="49">
        <f>+A41</f>
        <v>37290</v>
      </c>
      <c r="B46" s="32"/>
      <c r="C46" s="32"/>
      <c r="D46" s="375">
        <f>+D37*'by type_area'!G4</f>
        <v>875.5</v>
      </c>
    </row>
    <row r="47" spans="1:4" x14ac:dyDescent="0.25">
      <c r="A47" s="32"/>
      <c r="B47" s="32"/>
      <c r="C47" s="32"/>
      <c r="D47" s="200">
        <f>+D46+D45</f>
        <v>187508.5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240</v>
      </c>
      <c r="C3" s="87"/>
      <c r="D3" s="87"/>
    </row>
    <row r="4" spans="1:4" x14ac:dyDescent="0.25">
      <c r="A4" s="3"/>
      <c r="B4" s="328" t="s">
        <v>239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0</v>
      </c>
    </row>
    <row r="40" spans="1:4" x14ac:dyDescent="0.25">
      <c r="A40" s="57">
        <v>37256</v>
      </c>
      <c r="C40" s="15"/>
      <c r="D40" s="528">
        <v>-203736.06</v>
      </c>
    </row>
    <row r="41" spans="1:4" x14ac:dyDescent="0.25">
      <c r="A41" s="57">
        <v>37256</v>
      </c>
      <c r="C41" s="48"/>
      <c r="D41" s="138">
        <f>+D40+D39</f>
        <v>-203736.06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3">
        <v>-51454</v>
      </c>
    </row>
    <row r="47" spans="1:4" x14ac:dyDescent="0.25">
      <c r="A47" s="49">
        <f>+A41</f>
        <v>37256</v>
      </c>
      <c r="B47" s="32"/>
      <c r="C47" s="32"/>
      <c r="D47" s="459">
        <f>+D37</f>
        <v>0</v>
      </c>
    </row>
    <row r="48" spans="1:4" x14ac:dyDescent="0.25">
      <c r="A48" s="32"/>
      <c r="B48" s="32"/>
      <c r="C48" s="32"/>
      <c r="D48" s="14">
        <f>+D47+D46</f>
        <v>-51454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60" t="s">
        <v>241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-541</v>
      </c>
      <c r="C37" s="11">
        <f t="shared" ref="C37:I37" si="1">SUM(C6:C36)</f>
        <v>-429</v>
      </c>
      <c r="D37" s="11">
        <f t="shared" si="1"/>
        <v>0</v>
      </c>
      <c r="E37" s="11">
        <f t="shared" si="1"/>
        <v>0</v>
      </c>
      <c r="F37" s="11">
        <f t="shared" si="1"/>
        <v>-3493</v>
      </c>
      <c r="G37" s="11">
        <f t="shared" si="1"/>
        <v>-2358</v>
      </c>
      <c r="H37" s="11">
        <f t="shared" si="1"/>
        <v>0</v>
      </c>
      <c r="I37" s="11">
        <f t="shared" si="1"/>
        <v>0</v>
      </c>
      <c r="J37" s="11">
        <f>SUM(J6:J36)</f>
        <v>1247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2.06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2568.8200000000002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37287</v>
      </c>
      <c r="C41" s="25"/>
      <c r="E41" s="25"/>
      <c r="G41" s="25"/>
      <c r="I41" s="25"/>
      <c r="J41" s="533">
        <v>-37194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37290</v>
      </c>
      <c r="J43" s="319">
        <f>+J41+J39</f>
        <v>-34625.18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37287</v>
      </c>
      <c r="B48" s="32"/>
      <c r="C48" s="32"/>
      <c r="D48" s="523">
        <v>-4229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37290</v>
      </c>
      <c r="B49" s="32"/>
      <c r="C49" s="32"/>
      <c r="D49" s="350">
        <f>+J37</f>
        <v>1247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-2982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282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284</v>
      </c>
      <c r="C4" s="4"/>
      <c r="D4" s="38" t="s">
        <v>285</v>
      </c>
      <c r="E4" s="4"/>
      <c r="F4" s="38" t="s">
        <v>286</v>
      </c>
      <c r="G4" s="4"/>
      <c r="H4" s="38" t="s">
        <v>287</v>
      </c>
      <c r="I4" s="4"/>
      <c r="J4" s="38" t="s">
        <v>288</v>
      </c>
      <c r="K4" s="4"/>
      <c r="L4" s="38" t="s">
        <v>289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8"/>
      <c r="C6" s="11"/>
      <c r="D6" s="498"/>
      <c r="E6" s="11"/>
      <c r="F6" s="498"/>
      <c r="G6" s="11"/>
      <c r="H6" s="498"/>
      <c r="I6" s="11"/>
      <c r="J6" s="498"/>
      <c r="K6" s="11"/>
      <c r="L6" s="11">
        <v>-969</v>
      </c>
      <c r="M6" s="11">
        <v>-824</v>
      </c>
      <c r="N6" s="11">
        <f>+M6+K6+I6+G6+E6+C6-L6-J6-H6-F6-D6-B6</f>
        <v>145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8"/>
      <c r="C7" s="11"/>
      <c r="D7" s="498"/>
      <c r="E7" s="11"/>
      <c r="F7" s="498"/>
      <c r="G7" s="11"/>
      <c r="H7" s="498"/>
      <c r="I7" s="11"/>
      <c r="J7" s="498"/>
      <c r="K7" s="11"/>
      <c r="L7" s="11">
        <v>-1041</v>
      </c>
      <c r="M7" s="11">
        <v>-824</v>
      </c>
      <c r="N7" s="11">
        <f t="shared" ref="N7:N36" si="0">+M7+K7+I7+G7+E7+C7-L7-J7-H7-F7-D7-B7</f>
        <v>217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8"/>
      <c r="C8" s="11"/>
      <c r="D8" s="498"/>
      <c r="E8" s="11"/>
      <c r="F8" s="498"/>
      <c r="G8" s="11"/>
      <c r="H8" s="498"/>
      <c r="I8" s="11"/>
      <c r="J8" s="498"/>
      <c r="K8" s="11"/>
      <c r="L8" s="11">
        <v>-870</v>
      </c>
      <c r="M8" s="11">
        <v>-824</v>
      </c>
      <c r="N8" s="11">
        <f t="shared" si="0"/>
        <v>46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8"/>
      <c r="C9" s="11"/>
      <c r="D9" s="498"/>
      <c r="E9" s="11"/>
      <c r="F9" s="498"/>
      <c r="G9" s="11"/>
      <c r="H9" s="498"/>
      <c r="I9" s="11"/>
      <c r="J9" s="498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8"/>
      <c r="C10" s="11"/>
      <c r="D10" s="498"/>
      <c r="E10" s="11"/>
      <c r="F10" s="498"/>
      <c r="G10" s="11"/>
      <c r="H10" s="498"/>
      <c r="I10" s="11"/>
      <c r="J10" s="498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8"/>
      <c r="C11" s="11"/>
      <c r="D11" s="498"/>
      <c r="E11" s="11"/>
      <c r="F11" s="498"/>
      <c r="G11" s="11"/>
      <c r="H11" s="498"/>
      <c r="I11" s="11"/>
      <c r="J11" s="498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8"/>
      <c r="C12" s="11"/>
      <c r="D12" s="498"/>
      <c r="E12" s="11"/>
      <c r="F12" s="498"/>
      <c r="G12" s="11"/>
      <c r="H12" s="498"/>
      <c r="I12" s="11"/>
      <c r="J12" s="498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8"/>
      <c r="C13" s="11"/>
      <c r="D13" s="498"/>
      <c r="E13" s="11"/>
      <c r="F13" s="498"/>
      <c r="G13" s="11"/>
      <c r="H13" s="498"/>
      <c r="I13" s="11"/>
      <c r="J13" s="498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8"/>
      <c r="C14" s="11"/>
      <c r="D14" s="498"/>
      <c r="E14" s="11"/>
      <c r="F14" s="498"/>
      <c r="G14" s="11"/>
      <c r="H14" s="498"/>
      <c r="I14" s="11"/>
      <c r="J14" s="498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8"/>
      <c r="C15" s="11"/>
      <c r="D15" s="498"/>
      <c r="E15" s="11"/>
      <c r="F15" s="498"/>
      <c r="G15" s="11"/>
      <c r="H15" s="498"/>
      <c r="I15" s="11"/>
      <c r="J15" s="498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8"/>
      <c r="C16" s="11"/>
      <c r="D16" s="498"/>
      <c r="E16" s="11"/>
      <c r="F16" s="498"/>
      <c r="G16" s="11"/>
      <c r="H16" s="498"/>
      <c r="I16" s="11"/>
      <c r="J16" s="498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8"/>
      <c r="C17" s="11"/>
      <c r="D17" s="498"/>
      <c r="E17" s="11"/>
      <c r="F17" s="498"/>
      <c r="G17" s="11"/>
      <c r="H17" s="498"/>
      <c r="I17" s="11"/>
      <c r="J17" s="498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8"/>
      <c r="C18" s="11"/>
      <c r="D18" s="498"/>
      <c r="E18" s="11"/>
      <c r="F18" s="498"/>
      <c r="G18" s="11"/>
      <c r="H18" s="498"/>
      <c r="I18" s="11"/>
      <c r="J18" s="498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8"/>
      <c r="C19" s="11"/>
      <c r="D19" s="498"/>
      <c r="E19" s="11"/>
      <c r="F19" s="498"/>
      <c r="G19" s="11"/>
      <c r="H19" s="498"/>
      <c r="I19" s="11"/>
      <c r="J19" s="498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8"/>
      <c r="C20" s="11"/>
      <c r="D20" s="498"/>
      <c r="E20" s="11"/>
      <c r="F20" s="498"/>
      <c r="G20" s="11"/>
      <c r="H20" s="498"/>
      <c r="I20" s="11"/>
      <c r="J20" s="498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8"/>
      <c r="C21" s="11"/>
      <c r="D21" s="498"/>
      <c r="E21" s="11"/>
      <c r="F21" s="498"/>
      <c r="G21" s="11"/>
      <c r="H21" s="498"/>
      <c r="I21" s="11"/>
      <c r="J21" s="498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8"/>
      <c r="C22" s="11"/>
      <c r="D22" s="498"/>
      <c r="E22" s="11"/>
      <c r="F22" s="498"/>
      <c r="G22" s="11"/>
      <c r="H22" s="498"/>
      <c r="I22" s="11"/>
      <c r="J22" s="498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8"/>
      <c r="C23" s="11"/>
      <c r="D23" s="498"/>
      <c r="E23" s="11"/>
      <c r="F23" s="498"/>
      <c r="G23" s="11"/>
      <c r="H23" s="498"/>
      <c r="I23" s="11"/>
      <c r="J23" s="498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8"/>
      <c r="C24" s="11"/>
      <c r="D24" s="498"/>
      <c r="E24" s="11"/>
      <c r="F24" s="498"/>
      <c r="G24" s="11"/>
      <c r="H24" s="498"/>
      <c r="I24" s="11"/>
      <c r="J24" s="498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8"/>
      <c r="C25" s="11"/>
      <c r="D25" s="498"/>
      <c r="E25" s="11"/>
      <c r="F25" s="498"/>
      <c r="G25" s="11"/>
      <c r="H25" s="498"/>
      <c r="I25" s="11"/>
      <c r="J25" s="498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8"/>
      <c r="C26" s="11"/>
      <c r="D26" s="498"/>
      <c r="E26" s="11"/>
      <c r="F26" s="498"/>
      <c r="G26" s="11"/>
      <c r="H26" s="498"/>
      <c r="I26" s="11"/>
      <c r="J26" s="498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8"/>
      <c r="C27" s="11"/>
      <c r="D27" s="498"/>
      <c r="E27" s="11"/>
      <c r="F27" s="498"/>
      <c r="G27" s="11"/>
      <c r="H27" s="498"/>
      <c r="I27" s="11"/>
      <c r="J27" s="498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8"/>
      <c r="C28" s="11"/>
      <c r="D28" s="498"/>
      <c r="E28" s="11"/>
      <c r="F28" s="498"/>
      <c r="G28" s="11"/>
      <c r="H28" s="498"/>
      <c r="I28" s="11"/>
      <c r="J28" s="498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8"/>
      <c r="C29" s="11"/>
      <c r="D29" s="498"/>
      <c r="E29" s="11"/>
      <c r="F29" s="498"/>
      <c r="G29" s="11"/>
      <c r="H29" s="498"/>
      <c r="I29" s="11"/>
      <c r="J29" s="498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8"/>
      <c r="C30" s="11"/>
      <c r="D30" s="498"/>
      <c r="E30" s="11"/>
      <c r="F30" s="498"/>
      <c r="G30" s="11"/>
      <c r="H30" s="498"/>
      <c r="I30" s="11"/>
      <c r="J30" s="498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-2880</v>
      </c>
      <c r="M37" s="11">
        <f>SUM(M6:M36)</f>
        <v>-2472</v>
      </c>
      <c r="N37" s="11">
        <f t="shared" si="1"/>
        <v>408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2.06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840.48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37287</v>
      </c>
      <c r="C41" s="25"/>
      <c r="E41" s="25"/>
      <c r="G41" s="25"/>
      <c r="I41" s="25"/>
      <c r="K41" s="25"/>
      <c r="M41" s="25"/>
      <c r="N41" s="533">
        <v>24833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37290</v>
      </c>
      <c r="N43" s="319">
        <f>+N41+N39</f>
        <v>25673.48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37287</v>
      </c>
      <c r="B48" s="32"/>
      <c r="C48" s="32"/>
      <c r="D48" s="523">
        <v>8385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37290</v>
      </c>
      <c r="B49" s="32"/>
      <c r="C49" s="32"/>
      <c r="D49" s="350">
        <f>+N37</f>
        <v>408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8793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205</v>
      </c>
      <c r="C3" s="87"/>
      <c r="D3" s="87"/>
    </row>
    <row r="4" spans="1:4" x14ac:dyDescent="0.25">
      <c r="A4" s="3"/>
      <c r="B4" s="328" t="s">
        <v>206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>
        <v>150</v>
      </c>
      <c r="D6" s="25">
        <f>+C6-B6</f>
        <v>150</v>
      </c>
    </row>
    <row r="7" spans="1:4" x14ac:dyDescent="0.25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5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594</v>
      </c>
      <c r="C37" s="11">
        <f>SUM(C6:C36)</f>
        <v>450</v>
      </c>
      <c r="D37" s="25">
        <f>SUM(D6:D36)</f>
        <v>-144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-296.64</v>
      </c>
    </row>
    <row r="40" spans="1:4" x14ac:dyDescent="0.25">
      <c r="A40" s="57">
        <v>37287</v>
      </c>
      <c r="C40" s="15"/>
      <c r="D40" s="528">
        <v>174567</v>
      </c>
    </row>
    <row r="41" spans="1:4" x14ac:dyDescent="0.25">
      <c r="A41" s="57">
        <v>37290</v>
      </c>
      <c r="C41" s="48"/>
      <c r="D41" s="138">
        <f>+D40+D39</f>
        <v>174270.36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23">
        <v>76390</v>
      </c>
    </row>
    <row r="47" spans="1:4" x14ac:dyDescent="0.25">
      <c r="A47" s="49">
        <f>+A41</f>
        <v>37290</v>
      </c>
      <c r="B47" s="32"/>
      <c r="C47" s="32"/>
      <c r="D47" s="350">
        <f>+D37</f>
        <v>-144</v>
      </c>
    </row>
    <row r="48" spans="1:4" x14ac:dyDescent="0.25">
      <c r="A48" s="32"/>
      <c r="B48" s="32"/>
      <c r="C48" s="32"/>
      <c r="D48" s="14">
        <f>+D47+D46</f>
        <v>76246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208</v>
      </c>
      <c r="C3" s="87"/>
      <c r="D3" s="87"/>
    </row>
    <row r="4" spans="1:4" x14ac:dyDescent="0.25">
      <c r="A4" s="3"/>
      <c r="B4" s="328" t="s">
        <v>209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5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5">
      <c r="A8" s="10">
        <v>3</v>
      </c>
      <c r="B8" s="129">
        <v>1353</v>
      </c>
      <c r="C8" s="11">
        <v>180</v>
      </c>
      <c r="D8" s="25">
        <f t="shared" si="0"/>
        <v>-1173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4282</v>
      </c>
      <c r="C37" s="11">
        <f>SUM(C6:C36)</f>
        <v>540</v>
      </c>
      <c r="D37" s="25">
        <f>SUM(D6:D36)</f>
        <v>-3742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-7708.52</v>
      </c>
    </row>
    <row r="40" spans="1:4" x14ac:dyDescent="0.25">
      <c r="A40" s="57">
        <v>37287</v>
      </c>
      <c r="C40" s="15"/>
      <c r="D40" s="528">
        <v>146608</v>
      </c>
    </row>
    <row r="41" spans="1:4" x14ac:dyDescent="0.25">
      <c r="A41" s="57">
        <v>37290</v>
      </c>
      <c r="C41" s="48"/>
      <c r="D41" s="138">
        <f>+D40+D39</f>
        <v>138899.48000000001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23">
        <v>26945</v>
      </c>
    </row>
    <row r="47" spans="1:4" x14ac:dyDescent="0.25">
      <c r="A47" s="49">
        <f>+A41</f>
        <v>37290</v>
      </c>
      <c r="B47" s="32"/>
      <c r="C47" s="32"/>
      <c r="D47" s="350">
        <f>+D37</f>
        <v>-3742</v>
      </c>
    </row>
    <row r="48" spans="1:4" x14ac:dyDescent="0.25">
      <c r="A48" s="32"/>
      <c r="B48" s="32"/>
      <c r="C48" s="32"/>
      <c r="D48" s="14">
        <f>+D47+D46</f>
        <v>23203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C31" sqref="C31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5">
      <c r="A7" s="41">
        <v>3</v>
      </c>
      <c r="B7" s="11">
        <v>-21847</v>
      </c>
      <c r="C7" s="11">
        <v>-10000</v>
      </c>
      <c r="D7" s="11">
        <v>-48201</v>
      </c>
      <c r="E7" s="11">
        <v>-47537</v>
      </c>
      <c r="F7" s="11">
        <f t="shared" si="0"/>
        <v>12511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5">
      <c r="A8" s="41">
        <v>4</v>
      </c>
      <c r="B8" s="11"/>
      <c r="C8" s="11"/>
      <c r="D8" s="11"/>
      <c r="E8" s="11"/>
      <c r="F8" s="11">
        <f t="shared" si="0"/>
        <v>0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5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5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5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5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5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5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5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5">
      <c r="A36" s="41"/>
      <c r="B36" s="11">
        <f>SUM(B5:B35)</f>
        <v>-32387</v>
      </c>
      <c r="C36" s="44">
        <f>SUM(C5:C35)</f>
        <v>-20000</v>
      </c>
      <c r="D36" s="43">
        <f>SUM(D5:D35)</f>
        <v>-108752</v>
      </c>
      <c r="E36" s="43">
        <f>SUM(E5:E35)</f>
        <v>-107094</v>
      </c>
      <c r="F36" s="11">
        <f>SUM(F5:F35)</f>
        <v>14045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5">
      <c r="A39" s="32"/>
      <c r="B39" s="32"/>
      <c r="C39" s="15"/>
      <c r="D39" s="15"/>
      <c r="E39" s="15"/>
      <c r="F39" s="494">
        <f>+summary!G5</f>
        <v>2.06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5">
      <c r="A40" s="32"/>
      <c r="B40" s="32"/>
      <c r="C40" s="48"/>
      <c r="D40" s="47"/>
      <c r="E40" s="48"/>
      <c r="F40" s="46">
        <f>+F39*F36</f>
        <v>28932.7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5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5">
      <c r="A42" s="57">
        <v>37287</v>
      </c>
      <c r="B42" s="32"/>
      <c r="C42" s="462"/>
      <c r="D42" s="111"/>
      <c r="E42" s="462"/>
      <c r="F42" s="493">
        <v>76569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5">
      <c r="A43" s="57">
        <v>37290</v>
      </c>
      <c r="B43" s="32"/>
      <c r="C43" s="106"/>
      <c r="D43" s="106"/>
      <c r="E43" s="106"/>
      <c r="F43" s="24">
        <f>+F40+F42</f>
        <v>105501.7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5">
      <c r="A47" s="32" t="s">
        <v>294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5">
      <c r="A48" s="49">
        <f>+A42</f>
        <v>37287</v>
      </c>
      <c r="B48" s="32"/>
      <c r="C48" s="32"/>
      <c r="D48" s="507">
        <v>51949.24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5">
      <c r="A49" s="49">
        <f>+A43</f>
        <v>37290</v>
      </c>
      <c r="B49" s="32"/>
      <c r="C49" s="32"/>
      <c r="D49" s="76">
        <f>+F36</f>
        <v>14045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5">
      <c r="A50" s="32"/>
      <c r="B50" s="32"/>
      <c r="C50" s="32"/>
      <c r="D50" s="75">
        <f>+D49+D48</f>
        <v>65994.239999999991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5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5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5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5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5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5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5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5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5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5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5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5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5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5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5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5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5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5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5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5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5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5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5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5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5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5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5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5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5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5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5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5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5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5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5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5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5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5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5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5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5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5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5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5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5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5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5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5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5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5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5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5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5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5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5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5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5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5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5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5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5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5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5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5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5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5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5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5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5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5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5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5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5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5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5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5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5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5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5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5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5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5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5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5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5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5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5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5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5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5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5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5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5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5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5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5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5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5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5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5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5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5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5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5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5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5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5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5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5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5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5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5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5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5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5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5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5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5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5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5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5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5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5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5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5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5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5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5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5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5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5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5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5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5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5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5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5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5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5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5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5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5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5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5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5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5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5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5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5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5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5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5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5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5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5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5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5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5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5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5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5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5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5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5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5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5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5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5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5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5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5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5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5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D43" sqref="D43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-5689</v>
      </c>
      <c r="C37" s="24">
        <f>SUM(C6:C36)</f>
        <v>-11097</v>
      </c>
      <c r="D37" s="24">
        <f>SUM(D6:D36)</f>
        <v>-2902</v>
      </c>
      <c r="E37" s="24">
        <f>SUM(E6:E36)</f>
        <v>-6000</v>
      </c>
      <c r="F37" s="24">
        <f>SUM(F6:F36)</f>
        <v>-8506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2.06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-17522.36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C40" s="319"/>
      <c r="D40" s="262"/>
      <c r="E40" s="262"/>
      <c r="F40" s="522">
        <v>-117510.28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37290</v>
      </c>
      <c r="C41" s="319"/>
      <c r="D41" s="262"/>
      <c r="E41" s="262"/>
      <c r="F41" s="104">
        <f>+F40+F39</f>
        <v>-135032.64000000001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-35775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37290</v>
      </c>
      <c r="B47" s="32"/>
      <c r="C47" s="32"/>
      <c r="D47" s="350">
        <f>+F37</f>
        <v>-8506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-44281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-2334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209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-2234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109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-2230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105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-6798</v>
      </c>
      <c r="C37" s="24">
        <f t="shared" si="1"/>
        <v>-6300</v>
      </c>
      <c r="D37" s="24">
        <f t="shared" si="1"/>
        <v>0</v>
      </c>
      <c r="E37" s="24">
        <f t="shared" si="1"/>
        <v>-75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423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2.06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871.38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37287</v>
      </c>
      <c r="E40" s="14"/>
      <c r="O40" s="442"/>
      <c r="P40" s="522">
        <v>92208.92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37290</v>
      </c>
      <c r="E41" s="14"/>
      <c r="O41" s="442"/>
      <c r="P41" s="104">
        <f>+P40+P39</f>
        <v>93080.3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23">
        <v>38214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37290</v>
      </c>
      <c r="B47" s="32"/>
      <c r="C47" s="32"/>
      <c r="D47" s="350">
        <f>+P37</f>
        <v>423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38637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2" sqref="C3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279</v>
      </c>
      <c r="C3" s="87"/>
      <c r="D3" s="87"/>
    </row>
    <row r="4" spans="1:4" x14ac:dyDescent="0.25">
      <c r="A4" s="3"/>
      <c r="B4" s="328" t="s">
        <v>278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5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5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29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-72057</v>
      </c>
      <c r="C37" s="11">
        <f>SUM(C6:C36)</f>
        <v>-71963</v>
      </c>
      <c r="D37" s="25">
        <f>SUM(D6:D36)</f>
        <v>94</v>
      </c>
    </row>
    <row r="38" spans="1:4" x14ac:dyDescent="0.25">
      <c r="A38" s="26"/>
      <c r="C38" s="14"/>
      <c r="D38" s="326">
        <f>+summary!G4</f>
        <v>2.06</v>
      </c>
    </row>
    <row r="39" spans="1:4" x14ac:dyDescent="0.25">
      <c r="D39" s="138">
        <f>+D38*D37</f>
        <v>193.64000000000001</v>
      </c>
    </row>
    <row r="40" spans="1:4" x14ac:dyDescent="0.25">
      <c r="A40" s="57">
        <v>37287</v>
      </c>
      <c r="C40" s="15"/>
      <c r="D40" s="528">
        <v>-20671</v>
      </c>
    </row>
    <row r="41" spans="1:4" x14ac:dyDescent="0.25">
      <c r="A41" s="57">
        <v>37290</v>
      </c>
      <c r="C41" s="48"/>
      <c r="D41" s="138">
        <f>+D40+D39</f>
        <v>-20477.36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23">
        <v>3117</v>
      </c>
    </row>
    <row r="47" spans="1:4" x14ac:dyDescent="0.25">
      <c r="A47" s="49">
        <f>+A41</f>
        <v>37290</v>
      </c>
      <c r="B47" s="32"/>
      <c r="C47" s="32"/>
      <c r="D47" s="350">
        <f>+D37</f>
        <v>94</v>
      </c>
    </row>
    <row r="48" spans="1:4" x14ac:dyDescent="0.25">
      <c r="A48" s="32"/>
      <c r="B48" s="32"/>
      <c r="C48" s="32"/>
      <c r="D48" s="14">
        <f>+D47+D46</f>
        <v>3211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" workbookViewId="0">
      <selection activeCell="C31" sqref="C31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298</v>
      </c>
      <c r="C3" s="87"/>
      <c r="D3" s="87"/>
    </row>
    <row r="4" spans="1:4" x14ac:dyDescent="0.25">
      <c r="A4" s="3"/>
      <c r="B4" s="328" t="s">
        <v>299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5">
      <c r="A7" s="10">
        <v>2</v>
      </c>
      <c r="B7" s="11">
        <v>2679</v>
      </c>
      <c r="C7" s="11">
        <v>2752</v>
      </c>
      <c r="D7" s="25">
        <f t="shared" ref="D7:D36" si="0">+C7-B7</f>
        <v>73</v>
      </c>
    </row>
    <row r="8" spans="1:4" x14ac:dyDescent="0.25">
      <c r="A8" s="10">
        <v>3</v>
      </c>
      <c r="B8" s="129">
        <v>3983</v>
      </c>
      <c r="C8" s="11">
        <v>2752</v>
      </c>
      <c r="D8" s="25">
        <f t="shared" si="0"/>
        <v>-1231</v>
      </c>
    </row>
    <row r="9" spans="1:4" x14ac:dyDescent="0.25">
      <c r="A9" s="10">
        <v>4</v>
      </c>
      <c r="B9" s="129">
        <v>2882</v>
      </c>
      <c r="C9" s="11">
        <v>2752</v>
      </c>
      <c r="D9" s="25">
        <f t="shared" si="0"/>
        <v>-130</v>
      </c>
    </row>
    <row r="10" spans="1:4" x14ac:dyDescent="0.25">
      <c r="A10" s="10">
        <v>5</v>
      </c>
      <c r="B10" s="129">
        <v>2914</v>
      </c>
      <c r="C10" s="11">
        <v>2752</v>
      </c>
      <c r="D10" s="25">
        <f t="shared" si="0"/>
        <v>-162</v>
      </c>
    </row>
    <row r="11" spans="1:4" x14ac:dyDescent="0.25">
      <c r="A11" s="10">
        <v>6</v>
      </c>
      <c r="B11" s="129">
        <v>2992</v>
      </c>
      <c r="C11" s="11">
        <v>2752</v>
      </c>
      <c r="D11" s="25">
        <f t="shared" si="0"/>
        <v>-240</v>
      </c>
    </row>
    <row r="12" spans="1:4" x14ac:dyDescent="0.25">
      <c r="A12" s="10">
        <v>7</v>
      </c>
      <c r="B12" s="129">
        <v>2937</v>
      </c>
      <c r="C12" s="11">
        <v>2752</v>
      </c>
      <c r="D12" s="25">
        <f t="shared" si="0"/>
        <v>-185</v>
      </c>
    </row>
    <row r="13" spans="1:4" x14ac:dyDescent="0.25">
      <c r="A13" s="10">
        <v>8</v>
      </c>
      <c r="B13" s="11">
        <v>2963</v>
      </c>
      <c r="C13" s="11">
        <v>2752</v>
      </c>
      <c r="D13" s="25">
        <f t="shared" si="0"/>
        <v>-211</v>
      </c>
    </row>
    <row r="14" spans="1:4" x14ac:dyDescent="0.25">
      <c r="A14" s="10">
        <v>9</v>
      </c>
      <c r="B14" s="11">
        <v>3271</v>
      </c>
      <c r="C14" s="11">
        <v>2752</v>
      </c>
      <c r="D14" s="25">
        <f t="shared" si="0"/>
        <v>-519</v>
      </c>
    </row>
    <row r="15" spans="1:4" x14ac:dyDescent="0.25">
      <c r="A15" s="10">
        <v>10</v>
      </c>
      <c r="B15" s="11">
        <v>3165</v>
      </c>
      <c r="C15" s="11">
        <v>2752</v>
      </c>
      <c r="D15" s="25">
        <f t="shared" si="0"/>
        <v>-413</v>
      </c>
    </row>
    <row r="16" spans="1:4" x14ac:dyDescent="0.25">
      <c r="A16" s="10">
        <v>11</v>
      </c>
      <c r="B16" s="11">
        <v>3089</v>
      </c>
      <c r="C16" s="11">
        <v>2752</v>
      </c>
      <c r="D16" s="25">
        <f t="shared" si="0"/>
        <v>-337</v>
      </c>
    </row>
    <row r="17" spans="1:4" x14ac:dyDescent="0.25">
      <c r="A17" s="10">
        <v>12</v>
      </c>
      <c r="B17" s="11">
        <v>3168</v>
      </c>
      <c r="C17" s="11">
        <v>2752</v>
      </c>
      <c r="D17" s="25">
        <f t="shared" si="0"/>
        <v>-416</v>
      </c>
    </row>
    <row r="18" spans="1:4" x14ac:dyDescent="0.25">
      <c r="A18" s="10">
        <v>13</v>
      </c>
      <c r="B18" s="11">
        <v>2550</v>
      </c>
      <c r="C18" s="11">
        <v>2752</v>
      </c>
      <c r="D18" s="25">
        <f t="shared" si="0"/>
        <v>202</v>
      </c>
    </row>
    <row r="19" spans="1:4" x14ac:dyDescent="0.25">
      <c r="A19" s="10">
        <v>14</v>
      </c>
      <c r="B19" s="11">
        <v>3143</v>
      </c>
      <c r="C19" s="11">
        <v>2752</v>
      </c>
      <c r="D19" s="25">
        <f t="shared" si="0"/>
        <v>-391</v>
      </c>
    </row>
    <row r="20" spans="1:4" x14ac:dyDescent="0.25">
      <c r="A20" s="10">
        <v>15</v>
      </c>
      <c r="B20" s="11">
        <v>2911</v>
      </c>
      <c r="C20" s="11">
        <v>2752</v>
      </c>
      <c r="D20" s="25">
        <f t="shared" si="0"/>
        <v>-159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45677</v>
      </c>
      <c r="C37" s="11">
        <f>SUM(C6:C36)</f>
        <v>41280</v>
      </c>
      <c r="D37" s="25">
        <f>SUM(D6:D36)</f>
        <v>-4397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-9057.82</v>
      </c>
    </row>
    <row r="40" spans="1:4" x14ac:dyDescent="0.25">
      <c r="A40" s="57">
        <v>37256</v>
      </c>
      <c r="C40" s="15"/>
      <c r="D40" s="528">
        <v>43180.07</v>
      </c>
    </row>
    <row r="41" spans="1:4" x14ac:dyDescent="0.25">
      <c r="A41" s="57">
        <v>37271</v>
      </c>
      <c r="C41" s="48"/>
      <c r="D41" s="138">
        <f>+D40+D39</f>
        <v>34122.25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3">
        <v>14850</v>
      </c>
    </row>
    <row r="47" spans="1:4" x14ac:dyDescent="0.25">
      <c r="A47" s="49">
        <f>+A41</f>
        <v>37271</v>
      </c>
      <c r="B47" s="32"/>
      <c r="C47" s="32"/>
      <c r="D47" s="350">
        <f>+D37</f>
        <v>-4397</v>
      </c>
    </row>
    <row r="48" spans="1:4" x14ac:dyDescent="0.25">
      <c r="A48" s="32"/>
      <c r="B48" s="32"/>
      <c r="C48" s="32"/>
      <c r="D48" s="14">
        <f>+D47+D46</f>
        <v>10453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55" t="s">
        <v>282</v>
      </c>
    </row>
    <row r="3" spans="1:37" x14ac:dyDescent="0.25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5">
      <c r="B4" s="556" t="s">
        <v>284</v>
      </c>
      <c r="C4" s="557"/>
      <c r="D4" s="558" t="s">
        <v>285</v>
      </c>
      <c r="E4" s="557"/>
      <c r="F4" s="558" t="s">
        <v>286</v>
      </c>
      <c r="G4" s="557"/>
      <c r="H4" s="558" t="s">
        <v>287</v>
      </c>
      <c r="I4" s="557"/>
      <c r="J4" s="558" t="s">
        <v>288</v>
      </c>
      <c r="K4" s="557"/>
      <c r="L4" s="558" t="s">
        <v>289</v>
      </c>
      <c r="M4" s="557"/>
      <c r="N4" s="557"/>
    </row>
    <row r="5" spans="1:37" x14ac:dyDescent="0.25">
      <c r="A5" s="559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0"/>
      <c r="Q5" s="560"/>
      <c r="R5" s="560"/>
      <c r="S5" s="560"/>
      <c r="T5" s="560"/>
      <c r="V5" s="561"/>
      <c r="AA5" s="562"/>
      <c r="AB5" s="560"/>
      <c r="AC5" s="560"/>
      <c r="AD5" s="560"/>
      <c r="AE5" s="560"/>
      <c r="AF5" s="560"/>
      <c r="AH5" s="561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0"/>
      <c r="Q6" s="560"/>
      <c r="R6" s="560"/>
      <c r="S6" s="560"/>
      <c r="T6" s="560"/>
      <c r="U6" s="563"/>
      <c r="V6" s="561"/>
      <c r="Y6" s="564"/>
      <c r="AA6" s="562"/>
      <c r="AB6" s="560"/>
      <c r="AC6" s="560"/>
      <c r="AD6" s="560"/>
      <c r="AE6" s="560"/>
      <c r="AF6" s="560"/>
      <c r="AG6" s="563"/>
      <c r="AH6" s="561"/>
      <c r="AK6" s="564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5"/>
      <c r="AB7" s="566"/>
      <c r="AC7" s="566"/>
      <c r="AD7" s="566"/>
      <c r="AE7" s="566"/>
      <c r="AF7" s="566"/>
      <c r="AG7" s="19"/>
      <c r="AH7" s="567"/>
      <c r="AI7" s="252"/>
      <c r="AJ7" s="264"/>
      <c r="AK7" s="564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6"/>
      <c r="Q8" s="566"/>
      <c r="R8" s="566"/>
      <c r="S8" s="566"/>
      <c r="T8" s="566"/>
      <c r="U8" s="19"/>
      <c r="V8" s="567"/>
      <c r="W8" s="252"/>
      <c r="X8" s="264"/>
      <c r="Y8" s="564"/>
      <c r="AA8" s="565"/>
      <c r="AB8" s="566"/>
      <c r="AC8" s="566"/>
      <c r="AD8" s="566"/>
      <c r="AE8" s="566"/>
      <c r="AF8" s="566"/>
      <c r="AG8" s="19"/>
      <c r="AH8" s="567"/>
      <c r="AI8" s="252"/>
      <c r="AJ8" s="264"/>
      <c r="AK8" s="564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6"/>
      <c r="S9" s="28"/>
      <c r="T9" s="566"/>
      <c r="U9" s="19"/>
      <c r="V9" s="567"/>
      <c r="W9" s="252"/>
      <c r="X9" s="264"/>
      <c r="Y9" s="564"/>
      <c r="AA9" s="565"/>
      <c r="AB9" s="566"/>
      <c r="AC9" s="566"/>
      <c r="AD9" s="566"/>
      <c r="AE9" s="566"/>
      <c r="AF9" s="566"/>
      <c r="AG9" s="19"/>
      <c r="AH9" s="567"/>
      <c r="AI9" s="252"/>
      <c r="AJ9" s="264"/>
      <c r="AK9" s="564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6"/>
      <c r="S10" s="28"/>
      <c r="T10" s="566"/>
      <c r="U10" s="19"/>
      <c r="V10" s="567"/>
      <c r="W10" s="252"/>
      <c r="X10" s="264"/>
      <c r="Y10" s="564"/>
      <c r="AA10" s="565"/>
      <c r="AB10" s="566"/>
      <c r="AC10" s="566"/>
      <c r="AD10" s="566"/>
      <c r="AE10" s="566"/>
      <c r="AF10" s="566"/>
      <c r="AG10" s="19"/>
      <c r="AH10" s="567"/>
      <c r="AI10" s="252"/>
      <c r="AJ10" s="264"/>
      <c r="AK10" s="564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6"/>
      <c r="S11" s="28"/>
      <c r="T11" s="566"/>
      <c r="U11" s="19"/>
      <c r="V11" s="567"/>
      <c r="W11" s="252"/>
      <c r="X11" s="264"/>
      <c r="Y11" s="564"/>
      <c r="AA11" s="565"/>
      <c r="AB11" s="566"/>
      <c r="AC11" s="566"/>
      <c r="AD11" s="566"/>
      <c r="AE11" s="566"/>
      <c r="AF11" s="566"/>
      <c r="AG11" s="19"/>
      <c r="AH11" s="567"/>
      <c r="AI11" s="252"/>
      <c r="AJ11" s="264"/>
      <c r="AK11" s="564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6"/>
      <c r="S12" s="28"/>
      <c r="T12" s="566"/>
      <c r="U12" s="19"/>
      <c r="V12" s="567"/>
      <c r="W12" s="252"/>
      <c r="X12" s="264"/>
      <c r="Y12" s="564"/>
      <c r="AA12" s="565"/>
      <c r="AB12" s="566"/>
      <c r="AC12" s="566"/>
      <c r="AD12" s="566"/>
      <c r="AE12" s="566"/>
      <c r="AF12" s="566"/>
      <c r="AG12" s="19"/>
      <c r="AH12" s="567"/>
      <c r="AI12" s="252"/>
      <c r="AJ12" s="264"/>
      <c r="AK12" s="564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6"/>
      <c r="S13" s="568"/>
      <c r="T13" s="566"/>
      <c r="U13" s="19"/>
      <c r="V13" s="567"/>
      <c r="W13" s="252"/>
      <c r="X13" s="264"/>
      <c r="Y13" s="564"/>
      <c r="AA13" s="565"/>
      <c r="AB13" s="566"/>
      <c r="AC13" s="566"/>
      <c r="AD13" s="566"/>
      <c r="AE13" s="566"/>
      <c r="AF13" s="566"/>
      <c r="AG13" s="19"/>
      <c r="AH13" s="567"/>
      <c r="AI13" s="252"/>
      <c r="AJ13" s="264"/>
      <c r="AK13" s="564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6"/>
      <c r="S14" s="568"/>
      <c r="T14" s="566"/>
      <c r="U14" s="19"/>
      <c r="V14" s="567"/>
      <c r="W14" s="252"/>
      <c r="X14" s="264"/>
      <c r="Y14" s="564"/>
      <c r="AA14" s="565"/>
      <c r="AB14" s="566"/>
      <c r="AC14" s="566"/>
      <c r="AD14" s="566"/>
      <c r="AE14" s="566"/>
      <c r="AF14" s="566"/>
      <c r="AG14" s="19"/>
      <c r="AH14" s="567"/>
      <c r="AI14" s="252"/>
      <c r="AJ14" s="264"/>
      <c r="AK14" s="564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6"/>
      <c r="S15" s="568"/>
      <c r="T15" s="566"/>
      <c r="U15" s="19"/>
      <c r="V15" s="567"/>
      <c r="W15" s="252"/>
      <c r="X15" s="264"/>
      <c r="Y15" s="564"/>
      <c r="AA15" s="565"/>
      <c r="AB15" s="566"/>
      <c r="AC15" s="566"/>
      <c r="AD15" s="566"/>
      <c r="AE15" s="566"/>
      <c r="AF15" s="566"/>
      <c r="AG15" s="19"/>
      <c r="AH15" s="567"/>
      <c r="AI15" s="252"/>
      <c r="AJ15" s="264"/>
      <c r="AK15" s="564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6"/>
      <c r="S16" s="568"/>
      <c r="T16" s="566"/>
      <c r="U16" s="19"/>
      <c r="V16" s="567"/>
      <c r="W16" s="252"/>
      <c r="X16" s="264"/>
      <c r="Y16" s="564"/>
      <c r="AA16" s="565"/>
      <c r="AB16" s="566"/>
      <c r="AC16" s="566"/>
      <c r="AD16" s="566"/>
      <c r="AE16" s="566"/>
      <c r="AF16" s="566"/>
      <c r="AG16" s="19"/>
      <c r="AH16" s="567"/>
      <c r="AI16" s="252"/>
      <c r="AJ16" s="264"/>
      <c r="AK16" s="564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6"/>
      <c r="S17" s="568"/>
      <c r="T17" s="566"/>
      <c r="U17" s="19"/>
      <c r="V17" s="567"/>
      <c r="W17" s="252"/>
      <c r="X17" s="264"/>
      <c r="Y17" s="564"/>
      <c r="AA17" s="565"/>
      <c r="AB17" s="566"/>
      <c r="AC17" s="566"/>
      <c r="AD17" s="566"/>
      <c r="AE17" s="566"/>
      <c r="AF17" s="566"/>
      <c r="AG17" s="19"/>
      <c r="AH17" s="567"/>
      <c r="AI17" s="252"/>
      <c r="AJ17" s="264"/>
      <c r="AK17" s="564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6"/>
      <c r="S18" s="568"/>
      <c r="T18" s="566"/>
      <c r="U18" s="19"/>
      <c r="V18" s="567"/>
      <c r="W18" s="252"/>
      <c r="X18" s="264"/>
      <c r="Y18" s="564"/>
      <c r="AA18" s="565"/>
      <c r="AB18" s="566"/>
      <c r="AF18" s="566"/>
      <c r="AG18" s="19"/>
      <c r="AH18" s="567"/>
      <c r="AI18" s="252"/>
      <c r="AJ18" s="264"/>
      <c r="AK18" s="564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6"/>
      <c r="T19" s="566"/>
      <c r="U19" s="19"/>
      <c r="V19" s="567"/>
      <c r="W19" s="252"/>
      <c r="X19" s="264"/>
      <c r="Y19" s="564"/>
      <c r="AA19" s="565"/>
      <c r="AB19" s="566"/>
      <c r="AF19" s="566"/>
      <c r="AG19" s="19"/>
      <c r="AH19" s="567"/>
      <c r="AI19" s="252"/>
      <c r="AJ19" s="264"/>
      <c r="AK19" s="564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6"/>
      <c r="T20" s="566"/>
      <c r="U20" s="19"/>
      <c r="V20" s="567"/>
      <c r="W20" s="252"/>
      <c r="X20" s="264"/>
      <c r="Y20" s="564"/>
      <c r="AA20" s="565"/>
      <c r="AB20" s="566"/>
      <c r="AF20" s="566"/>
      <c r="AG20" s="19"/>
      <c r="AH20" s="567"/>
      <c r="AI20" s="252"/>
      <c r="AJ20" s="264"/>
      <c r="AK20" s="564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5"/>
      <c r="AB21" s="566"/>
      <c r="AF21" s="566"/>
      <c r="AG21" s="19"/>
      <c r="AH21" s="567"/>
      <c r="AI21" s="252"/>
      <c r="AJ21" s="264"/>
      <c r="AK21" s="564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5"/>
      <c r="AB22" s="51"/>
      <c r="AF22" s="566"/>
      <c r="AG22" s="19"/>
      <c r="AH22" s="567"/>
      <c r="AI22" s="252"/>
      <c r="AJ22" s="264"/>
      <c r="AK22" s="564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6"/>
      <c r="Q23" s="566"/>
      <c r="R23" s="566"/>
      <c r="S23" s="566"/>
      <c r="T23" s="566"/>
      <c r="U23" s="19"/>
      <c r="V23" s="567"/>
      <c r="W23" s="252"/>
      <c r="X23" s="264"/>
      <c r="Y23" s="564"/>
      <c r="AA23" s="565"/>
      <c r="AB23" s="51"/>
      <c r="AF23" s="566"/>
      <c r="AG23" s="19"/>
      <c r="AH23" s="567"/>
      <c r="AI23" s="252"/>
      <c r="AJ23" s="264"/>
      <c r="AK23" s="564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6"/>
      <c r="Q24" s="566"/>
      <c r="R24" s="566"/>
      <c r="S24" s="566"/>
      <c r="T24" s="566"/>
      <c r="U24" s="19"/>
      <c r="V24" s="567"/>
      <c r="W24" s="252"/>
      <c r="X24" s="264"/>
      <c r="Y24" s="564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6"/>
      <c r="Q25" s="566"/>
      <c r="R25" s="566"/>
      <c r="S25" s="566"/>
      <c r="T25" s="566"/>
      <c r="U25" s="19"/>
      <c r="V25" s="567"/>
      <c r="W25" s="252"/>
      <c r="X25" s="264"/>
      <c r="Y25" s="564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6"/>
      <c r="Q26" s="566"/>
      <c r="R26" s="566"/>
      <c r="S26" s="566"/>
      <c r="T26" s="566"/>
      <c r="U26" s="19"/>
      <c r="V26" s="567"/>
      <c r="W26" s="252"/>
      <c r="X26" s="264"/>
      <c r="Y26" s="564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6"/>
      <c r="Q27" s="566"/>
      <c r="R27" s="566"/>
      <c r="S27" s="566"/>
      <c r="T27" s="566"/>
      <c r="U27" s="19"/>
      <c r="V27" s="567"/>
      <c r="W27" s="252"/>
      <c r="X27" s="264"/>
      <c r="Y27" s="564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6"/>
      <c r="Q28" s="566"/>
      <c r="R28" s="566"/>
      <c r="S28" s="566"/>
      <c r="T28" s="566"/>
      <c r="U28" s="19"/>
      <c r="V28" s="567"/>
      <c r="W28" s="252"/>
      <c r="X28" s="264"/>
      <c r="Y28" s="564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6"/>
      <c r="Q29" s="566"/>
      <c r="R29" s="566"/>
      <c r="S29" s="566"/>
      <c r="T29" s="566"/>
      <c r="U29" s="19"/>
      <c r="V29" s="567"/>
      <c r="W29" s="252"/>
      <c r="X29" s="264"/>
      <c r="Y29" s="564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6"/>
      <c r="Q30" s="566"/>
      <c r="R30" s="566"/>
      <c r="S30" s="566"/>
      <c r="T30" s="566"/>
      <c r="U30" s="19"/>
      <c r="V30" s="567"/>
      <c r="W30" s="252"/>
      <c r="X30" s="264"/>
      <c r="Y30" s="564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6"/>
      <c r="Q31" s="566"/>
      <c r="R31" s="566"/>
      <c r="S31" s="566"/>
      <c r="T31" s="566"/>
      <c r="U31" s="19"/>
      <c r="V31" s="567"/>
      <c r="W31" s="252"/>
      <c r="X31" s="264"/>
      <c r="Y31" s="564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6"/>
      <c r="Q32" s="566"/>
      <c r="R32" s="566"/>
      <c r="S32" s="566"/>
      <c r="T32" s="566"/>
      <c r="U32" s="19"/>
      <c r="V32" s="567"/>
      <c r="W32" s="252"/>
      <c r="X32" s="264"/>
      <c r="Y32" s="564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6"/>
      <c r="Q33" s="566"/>
      <c r="R33" s="566"/>
      <c r="S33" s="566"/>
      <c r="T33" s="566"/>
      <c r="U33" s="19"/>
      <c r="V33" s="567"/>
      <c r="W33" s="252"/>
      <c r="X33" s="264"/>
      <c r="Y33" s="564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6"/>
      <c r="T34" s="566"/>
      <c r="U34" s="19"/>
      <c r="V34" s="567"/>
      <c r="W34" s="252"/>
      <c r="X34" s="264"/>
      <c r="Y34" s="564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6"/>
      <c r="T35" s="566"/>
      <c r="U35" s="19"/>
      <c r="V35" s="567"/>
      <c r="W35" s="252"/>
      <c r="X35" s="264"/>
      <c r="Y35" s="564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6"/>
      <c r="T36" s="566"/>
      <c r="U36" s="19"/>
      <c r="V36" s="567"/>
      <c r="W36" s="252"/>
      <c r="X36" s="264"/>
      <c r="Y36" s="564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6"/>
      <c r="T37" s="566"/>
      <c r="U37" s="19"/>
      <c r="V37" s="567"/>
      <c r="W37" s="252"/>
      <c r="X37" s="264"/>
      <c r="Y37" s="564"/>
    </row>
    <row r="38" spans="1:25" x14ac:dyDescent="0.25">
      <c r="N38" s="264">
        <f>+summary!G4</f>
        <v>2.06</v>
      </c>
      <c r="P38" s="51"/>
      <c r="T38" s="566"/>
      <c r="U38" s="19"/>
      <c r="V38" s="567"/>
      <c r="W38" s="252"/>
      <c r="X38" s="264"/>
      <c r="Y38" s="564"/>
    </row>
    <row r="39" spans="1:25" x14ac:dyDescent="0.25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6"/>
      <c r="U39" s="19"/>
      <c r="V39" s="567"/>
      <c r="W39" s="252"/>
      <c r="X39" s="264"/>
      <c r="Y39" s="564"/>
    </row>
    <row r="40" spans="1:25" x14ac:dyDescent="0.25">
      <c r="N40" s="329"/>
      <c r="P40" s="566"/>
      <c r="T40" s="566"/>
      <c r="U40" s="19"/>
      <c r="V40" s="567"/>
      <c r="W40" s="252"/>
      <c r="X40" s="264"/>
      <c r="Y40" s="564"/>
    </row>
    <row r="41" spans="1:25" x14ac:dyDescent="0.25">
      <c r="A41" s="263">
        <v>37256</v>
      </c>
      <c r="C41" s="131"/>
      <c r="E41" s="131"/>
      <c r="G41" s="131"/>
      <c r="I41" s="131"/>
      <c r="K41" s="131"/>
      <c r="M41" s="131"/>
      <c r="N41" s="569">
        <v>107948.28</v>
      </c>
      <c r="P41" s="566"/>
      <c r="T41" s="566"/>
      <c r="U41" s="19"/>
      <c r="V41" s="567"/>
      <c r="W41" s="252"/>
      <c r="X41" s="264"/>
      <c r="Y41" s="564"/>
    </row>
    <row r="42" spans="1:25" x14ac:dyDescent="0.25">
      <c r="N42" s="319"/>
      <c r="P42" s="566"/>
      <c r="T42" s="566"/>
      <c r="U42" s="19"/>
      <c r="V42" s="567"/>
      <c r="W42" s="252"/>
      <c r="X42" s="264"/>
      <c r="Y42" s="564"/>
    </row>
    <row r="43" spans="1:25" x14ac:dyDescent="0.25">
      <c r="A43" s="263">
        <v>37256</v>
      </c>
      <c r="N43" s="319">
        <f>+N41+N39</f>
        <v>107948.28</v>
      </c>
      <c r="P43" s="566"/>
      <c r="T43" s="566"/>
      <c r="U43" s="19"/>
      <c r="V43" s="567"/>
      <c r="W43" s="252"/>
      <c r="X43" s="264"/>
      <c r="Y43" s="564"/>
    </row>
    <row r="44" spans="1:25" x14ac:dyDescent="0.25">
      <c r="N44" s="329"/>
      <c r="P44" s="566"/>
      <c r="T44" s="566"/>
      <c r="U44" s="19"/>
      <c r="V44" s="567"/>
      <c r="W44" s="252"/>
      <c r="X44" s="264"/>
      <c r="Y44" s="564"/>
    </row>
    <row r="45" spans="1:25" x14ac:dyDescent="0.25">
      <c r="P45" s="566"/>
      <c r="T45" s="566"/>
      <c r="U45" s="19"/>
      <c r="V45" s="567"/>
      <c r="W45" s="252"/>
      <c r="X45" s="264"/>
      <c r="Y45" s="564"/>
    </row>
    <row r="46" spans="1:25" x14ac:dyDescent="0.25">
      <c r="B46" s="465"/>
      <c r="D46" s="465"/>
      <c r="F46" s="465"/>
      <c r="H46" s="465"/>
      <c r="J46" s="465"/>
      <c r="L46" s="465"/>
      <c r="O46" s="565"/>
      <c r="P46" s="51"/>
      <c r="T46" s="566"/>
      <c r="U46" s="19"/>
      <c r="V46" s="567"/>
      <c r="W46" s="252"/>
      <c r="X46" s="264"/>
      <c r="Y46" s="564"/>
    </row>
    <row r="47" spans="1:25" x14ac:dyDescent="0.25">
      <c r="A47" s="249" t="s">
        <v>149</v>
      </c>
      <c r="B47" s="249"/>
      <c r="C47" s="249"/>
      <c r="D47" s="249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5"/>
      <c r="P47" s="51"/>
      <c r="T47" s="566"/>
      <c r="U47" s="19"/>
      <c r="V47" s="567"/>
      <c r="W47" s="252"/>
      <c r="X47" s="264"/>
      <c r="Y47" s="564"/>
    </row>
    <row r="48" spans="1:25" x14ac:dyDescent="0.25">
      <c r="A48" s="570">
        <f>+A41</f>
        <v>37256</v>
      </c>
      <c r="B48" s="249"/>
      <c r="C48" s="249"/>
      <c r="D48" s="571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5"/>
      <c r="T48" s="566"/>
      <c r="U48" s="19"/>
      <c r="V48" s="567"/>
      <c r="W48" s="252"/>
      <c r="X48" s="264"/>
      <c r="Y48" s="564"/>
    </row>
    <row r="49" spans="1:25" x14ac:dyDescent="0.25">
      <c r="A49" s="570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5"/>
      <c r="T49" s="566"/>
      <c r="U49" s="19"/>
      <c r="V49" s="567"/>
      <c r="W49" s="252"/>
      <c r="X49" s="264"/>
      <c r="Y49" s="564"/>
    </row>
    <row r="50" spans="1:25" x14ac:dyDescent="0.25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5"/>
      <c r="U50" s="19"/>
    </row>
    <row r="51" spans="1:25" x14ac:dyDescent="0.25">
      <c r="A51" s="572"/>
      <c r="B51" s="573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5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5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5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5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5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5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5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5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5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5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5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5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5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5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5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5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5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5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5"/>
      <c r="P70" s="566"/>
      <c r="Q70" s="566"/>
      <c r="R70" s="566"/>
      <c r="S70" s="566"/>
      <c r="T70" s="566"/>
      <c r="U70" s="28"/>
      <c r="V70" s="574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5"/>
      <c r="P71" s="566"/>
      <c r="Q71" s="566"/>
      <c r="R71" s="566"/>
      <c r="S71" s="566"/>
      <c r="T71" s="566"/>
      <c r="U71" s="28"/>
      <c r="V71" s="574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5"/>
      <c r="P72" s="566"/>
      <c r="Q72" s="566"/>
      <c r="R72" s="566"/>
      <c r="S72" s="566"/>
      <c r="T72" s="566"/>
      <c r="U72" s="28"/>
      <c r="V72" s="574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5"/>
      <c r="P73" s="566"/>
      <c r="Q73" s="566"/>
      <c r="R73" s="566"/>
      <c r="S73" s="566"/>
      <c r="T73" s="566"/>
      <c r="U73" s="28"/>
      <c r="V73" s="574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5"/>
      <c r="P74" s="566"/>
      <c r="Q74" s="566"/>
      <c r="R74" s="566"/>
      <c r="S74" s="566"/>
      <c r="T74" s="566"/>
      <c r="U74" s="28"/>
      <c r="V74" s="574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5"/>
      <c r="P75" s="566"/>
      <c r="Q75" s="566"/>
      <c r="R75" s="566"/>
      <c r="S75" s="566"/>
      <c r="T75" s="566"/>
      <c r="U75" s="28"/>
      <c r="V75" s="574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5"/>
      <c r="P76" s="566"/>
      <c r="Q76" s="566"/>
      <c r="R76" s="566"/>
      <c r="S76" s="566"/>
      <c r="T76" s="566"/>
      <c r="U76" s="28"/>
      <c r="V76" s="574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5"/>
      <c r="P77" s="566"/>
      <c r="Q77" s="566"/>
      <c r="R77" s="566"/>
      <c r="S77" s="566"/>
      <c r="T77" s="566"/>
      <c r="U77" s="28"/>
      <c r="V77" s="574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5"/>
      <c r="P78" s="566"/>
      <c r="Q78" s="566"/>
      <c r="R78" s="566"/>
      <c r="S78" s="566"/>
      <c r="T78" s="566"/>
      <c r="U78" s="28"/>
      <c r="V78" s="574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5"/>
      <c r="P79" s="566"/>
      <c r="Q79" s="566"/>
      <c r="R79" s="566"/>
      <c r="S79" s="566"/>
      <c r="T79" s="566"/>
      <c r="U79" s="28"/>
      <c r="V79" s="574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5"/>
      <c r="P80" s="566"/>
      <c r="Q80" s="566"/>
      <c r="R80" s="566"/>
      <c r="S80" s="566"/>
      <c r="T80" s="566"/>
      <c r="U80" s="28"/>
      <c r="V80" s="574"/>
    </row>
    <row r="81" spans="1:22" x14ac:dyDescent="0.25">
      <c r="A81" s="261"/>
      <c r="C81" s="131"/>
      <c r="E81" s="131"/>
      <c r="G81" s="131"/>
      <c r="I81" s="131"/>
      <c r="K81" s="131"/>
      <c r="M81" s="131"/>
      <c r="O81" s="565"/>
      <c r="P81" s="566"/>
      <c r="Q81" s="566"/>
      <c r="R81" s="566"/>
      <c r="S81" s="566"/>
      <c r="T81" s="566"/>
      <c r="U81" s="28"/>
      <c r="V81" s="574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5"/>
      <c r="P82" s="566"/>
      <c r="Q82" s="566"/>
      <c r="R82" s="566"/>
      <c r="S82" s="566"/>
      <c r="T82" s="566"/>
      <c r="U82" s="28"/>
      <c r="V82" s="574"/>
    </row>
    <row r="83" spans="1:22" x14ac:dyDescent="0.25">
      <c r="A83" s="261"/>
      <c r="C83" s="131"/>
      <c r="E83" s="131"/>
      <c r="H83" s="575"/>
      <c r="I83" s="575"/>
      <c r="J83" s="575"/>
      <c r="K83" s="575"/>
      <c r="L83" s="575"/>
      <c r="M83" s="575"/>
      <c r="N83" s="131"/>
      <c r="O83" s="565"/>
      <c r="P83" s="566"/>
      <c r="Q83" s="566"/>
      <c r="R83" s="566"/>
      <c r="S83" s="566"/>
      <c r="T83" s="566"/>
      <c r="V83" s="574"/>
    </row>
    <row r="84" spans="1:22" x14ac:dyDescent="0.25">
      <c r="A84" s="261"/>
      <c r="O84" s="565"/>
      <c r="P84" s="566"/>
      <c r="Q84" s="566"/>
      <c r="R84" s="566"/>
      <c r="S84" s="566"/>
      <c r="T84" s="566"/>
      <c r="V84" s="574"/>
    </row>
    <row r="85" spans="1:22" x14ac:dyDescent="0.25">
      <c r="A85" s="261"/>
      <c r="O85" s="565"/>
      <c r="P85" s="566"/>
      <c r="Q85" s="566"/>
      <c r="R85" s="566"/>
      <c r="S85" s="566"/>
      <c r="T85" s="566"/>
      <c r="V85" s="574"/>
    </row>
    <row r="86" spans="1:22" x14ac:dyDescent="0.25">
      <c r="A86" s="261"/>
      <c r="O86" s="565"/>
      <c r="P86" s="566"/>
      <c r="Q86" s="566"/>
      <c r="R86" s="566"/>
      <c r="S86" s="566"/>
      <c r="T86" s="566"/>
      <c r="V86" s="574"/>
    </row>
    <row r="87" spans="1:22" x14ac:dyDescent="0.25">
      <c r="A87" s="261"/>
      <c r="O87" s="565"/>
      <c r="P87" s="566"/>
      <c r="Q87" s="566"/>
      <c r="R87" s="566"/>
      <c r="S87" s="566"/>
      <c r="T87" s="566"/>
      <c r="V87" s="574"/>
    </row>
    <row r="88" spans="1:22" x14ac:dyDescent="0.25">
      <c r="A88" s="261"/>
      <c r="O88" s="565"/>
      <c r="P88" s="566"/>
      <c r="Q88" s="566"/>
      <c r="R88" s="566"/>
      <c r="S88" s="566"/>
      <c r="T88" s="566"/>
      <c r="V88" s="574"/>
    </row>
    <row r="89" spans="1:22" x14ac:dyDescent="0.25">
      <c r="A89" s="261"/>
      <c r="O89" s="565"/>
      <c r="P89" s="566"/>
      <c r="Q89" s="566"/>
      <c r="R89" s="566"/>
      <c r="S89" s="566"/>
      <c r="T89" s="566"/>
      <c r="V89" s="574"/>
    </row>
    <row r="90" spans="1:22" x14ac:dyDescent="0.25">
      <c r="B90" s="465"/>
      <c r="D90" s="465"/>
      <c r="F90" s="465"/>
      <c r="H90" s="465"/>
      <c r="J90" s="465"/>
      <c r="L90" s="465"/>
      <c r="O90" s="565"/>
      <c r="P90" s="566"/>
      <c r="Q90" s="566"/>
      <c r="R90" s="566"/>
      <c r="S90" s="566"/>
      <c r="T90" s="566"/>
      <c r="V90" s="574"/>
    </row>
    <row r="91" spans="1:22" x14ac:dyDescent="0.25">
      <c r="A91" s="576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5"/>
      <c r="P91" s="566"/>
      <c r="Q91" s="566"/>
      <c r="R91" s="566"/>
      <c r="S91" s="566"/>
      <c r="T91" s="566"/>
      <c r="V91" s="574"/>
    </row>
    <row r="92" spans="1:22" x14ac:dyDescent="0.25">
      <c r="A92" s="559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5"/>
      <c r="P92" s="575"/>
      <c r="Q92" s="575"/>
      <c r="R92" s="575"/>
      <c r="S92" s="575"/>
      <c r="T92" s="575"/>
      <c r="V92" s="560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75"/>
      <c r="I127" s="575"/>
      <c r="J127" s="575"/>
      <c r="K127" s="575"/>
      <c r="L127" s="575"/>
      <c r="M127" s="575"/>
      <c r="N127" s="131"/>
    </row>
    <row r="128" spans="1:14" x14ac:dyDescent="0.25">
      <c r="A128" s="261"/>
    </row>
    <row r="129" spans="1:14" x14ac:dyDescent="0.25">
      <c r="B129" s="465"/>
      <c r="D129" s="465"/>
      <c r="F129" s="465"/>
      <c r="H129" s="465"/>
      <c r="J129" s="465"/>
      <c r="L129" s="465"/>
    </row>
    <row r="130" spans="1:14" x14ac:dyDescent="0.25">
      <c r="B130" s="556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</row>
    <row r="131" spans="1:14" x14ac:dyDescent="0.25">
      <c r="A131" s="559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77"/>
      <c r="K166" s="577"/>
      <c r="M166" s="577"/>
      <c r="N166" s="51"/>
    </row>
    <row r="167" spans="1:14" x14ac:dyDescent="0.25">
      <c r="N167" s="51"/>
    </row>
    <row r="171" spans="1:14" x14ac:dyDescent="0.25">
      <c r="B171" s="465"/>
      <c r="D171" s="465"/>
      <c r="F171" s="465"/>
      <c r="H171" s="465"/>
      <c r="J171" s="465"/>
      <c r="L171" s="465"/>
    </row>
    <row r="172" spans="1:14" x14ac:dyDescent="0.25">
      <c r="B172" s="556"/>
      <c r="C172" s="557"/>
      <c r="D172" s="557"/>
      <c r="E172" s="557"/>
      <c r="F172" s="557"/>
      <c r="G172" s="557"/>
      <c r="H172" s="557"/>
      <c r="I172" s="557"/>
      <c r="J172" s="557"/>
      <c r="K172" s="557"/>
      <c r="L172" s="557"/>
      <c r="M172" s="557"/>
    </row>
    <row r="173" spans="1:14" x14ac:dyDescent="0.25">
      <c r="A173" s="559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77"/>
      <c r="K208" s="577"/>
      <c r="M208" s="577"/>
    </row>
    <row r="214" spans="1:13" x14ac:dyDescent="0.25">
      <c r="B214" s="465"/>
      <c r="D214" s="465"/>
      <c r="F214" s="465"/>
      <c r="H214" s="465"/>
      <c r="J214" s="465"/>
      <c r="L214" s="465"/>
    </row>
    <row r="215" spans="1:13" x14ac:dyDescent="0.25">
      <c r="B215" s="556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</row>
    <row r="216" spans="1:13" x14ac:dyDescent="0.25">
      <c r="A216" s="559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77"/>
      <c r="K251" s="577"/>
      <c r="M251" s="577"/>
    </row>
    <row r="256" spans="1:21" x14ac:dyDescent="0.25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5">
      <c r="B257" s="556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O257" s="556"/>
      <c r="P257" s="557"/>
      <c r="Q257" s="557"/>
      <c r="R257" s="557"/>
      <c r="S257" s="557"/>
      <c r="T257" s="557"/>
      <c r="U257" s="557"/>
      <c r="V257" s="557"/>
      <c r="W257" s="557"/>
    </row>
    <row r="258" spans="1:23" x14ac:dyDescent="0.25">
      <c r="A258" s="559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59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77"/>
      <c r="K293" s="577"/>
      <c r="M293" s="577"/>
      <c r="V293" s="577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5"/>
      <c r="Q297" s="465"/>
      <c r="S297" s="465"/>
      <c r="U297" s="465"/>
    </row>
    <row r="298" spans="1:23" x14ac:dyDescent="0.25">
      <c r="O298" s="556"/>
      <c r="P298" s="557"/>
      <c r="Q298" s="557"/>
      <c r="R298" s="557"/>
      <c r="S298" s="557"/>
      <c r="T298" s="557"/>
      <c r="U298" s="557"/>
      <c r="V298" s="557"/>
      <c r="W298" s="557"/>
    </row>
    <row r="299" spans="1:23" x14ac:dyDescent="0.25">
      <c r="N299" s="559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78"/>
      <c r="W336" s="51"/>
    </row>
    <row r="339" spans="14:23" x14ac:dyDescent="0.25">
      <c r="O339" s="465"/>
      <c r="Q339" s="465"/>
      <c r="S339" s="465"/>
      <c r="U339" s="465"/>
    </row>
    <row r="340" spans="14:23" x14ac:dyDescent="0.25">
      <c r="O340" s="556"/>
      <c r="P340" s="557"/>
      <c r="Q340" s="557"/>
      <c r="R340" s="557"/>
      <c r="S340" s="557"/>
      <c r="T340" s="557"/>
      <c r="U340" s="557"/>
      <c r="V340" s="557"/>
      <c r="W340" s="557"/>
    </row>
    <row r="341" spans="14:23" x14ac:dyDescent="0.25">
      <c r="N341" s="559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55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78"/>
      <c r="W378" s="579"/>
    </row>
    <row r="381" spans="14:23" x14ac:dyDescent="0.25">
      <c r="O381" s="465"/>
      <c r="Q381" s="465"/>
      <c r="S381" s="465"/>
      <c r="U381" s="465"/>
    </row>
    <row r="382" spans="14:23" x14ac:dyDescent="0.25">
      <c r="O382" s="556"/>
      <c r="P382" s="557"/>
      <c r="Q382" s="557"/>
      <c r="R382" s="557"/>
      <c r="S382" s="557"/>
      <c r="T382" s="557"/>
      <c r="U382" s="557"/>
      <c r="V382" s="557"/>
      <c r="W382" s="557"/>
    </row>
    <row r="383" spans="14:23" x14ac:dyDescent="0.25">
      <c r="N383" s="559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55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78"/>
      <c r="W420" s="579"/>
    </row>
    <row r="425" spans="14:23" x14ac:dyDescent="0.25">
      <c r="O425" s="465"/>
      <c r="Q425" s="465"/>
      <c r="S425" s="465"/>
      <c r="U425" s="465"/>
    </row>
    <row r="426" spans="14:23" x14ac:dyDescent="0.25">
      <c r="O426" s="556"/>
      <c r="P426" s="557"/>
      <c r="Q426" s="557"/>
      <c r="R426" s="557"/>
      <c r="S426" s="557"/>
      <c r="T426" s="557"/>
      <c r="U426" s="557"/>
      <c r="V426" s="557"/>
      <c r="W426" s="557"/>
    </row>
    <row r="427" spans="14:23" x14ac:dyDescent="0.25">
      <c r="N427" s="559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55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78"/>
      <c r="W464" s="51"/>
    </row>
    <row r="467" spans="14:33" x14ac:dyDescent="0.25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5">
      <c r="O468" s="556"/>
      <c r="P468" s="557"/>
      <c r="Q468" s="557"/>
      <c r="R468" s="557"/>
      <c r="S468" s="557"/>
      <c r="T468" s="557"/>
      <c r="U468" s="557"/>
      <c r="V468" s="557"/>
      <c r="W468" s="557"/>
      <c r="Y468" s="556"/>
      <c r="Z468" s="557"/>
      <c r="AA468" s="557"/>
      <c r="AB468" s="557"/>
      <c r="AC468" s="557"/>
      <c r="AD468" s="557"/>
      <c r="AE468" s="557"/>
      <c r="AF468" s="557"/>
      <c r="AG468" s="557"/>
    </row>
    <row r="469" spans="14:33" x14ac:dyDescent="0.25">
      <c r="N469" s="559"/>
      <c r="O469" s="466"/>
      <c r="P469" s="466"/>
      <c r="Q469" s="466"/>
      <c r="R469" s="466"/>
      <c r="S469" s="466"/>
      <c r="T469" s="466"/>
      <c r="U469" s="466"/>
      <c r="V469" s="466"/>
      <c r="W469" s="466"/>
      <c r="X469" s="559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55"/>
      <c r="P504" s="131"/>
      <c r="R504" s="131"/>
      <c r="T504" s="131"/>
      <c r="V504" s="131"/>
      <c r="W504" s="51"/>
      <c r="X504" s="555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78"/>
      <c r="W506" s="51"/>
      <c r="X506" s="578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workbookViewId="0">
      <selection activeCell="C10" sqref="C10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5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5">
      <c r="A9" s="10">
        <v>3</v>
      </c>
      <c r="B9" s="11">
        <v>142965</v>
      </c>
      <c r="C9" s="11">
        <v>142375</v>
      </c>
      <c r="D9" s="25">
        <f t="shared" ref="D9:D37" si="0">+C9-B9</f>
        <v>-590</v>
      </c>
    </row>
    <row r="10" spans="1:4" x14ac:dyDescent="0.25">
      <c r="A10" s="10">
        <v>4</v>
      </c>
      <c r="B10" s="11"/>
      <c r="C10" s="11"/>
      <c r="D10" s="25">
        <f t="shared" si="0"/>
        <v>0</v>
      </c>
    </row>
    <row r="11" spans="1:4" x14ac:dyDescent="0.25">
      <c r="A11" s="10">
        <v>5</v>
      </c>
      <c r="B11" s="129"/>
      <c r="C11" s="11"/>
      <c r="D11" s="25">
        <f t="shared" si="0"/>
        <v>0</v>
      </c>
    </row>
    <row r="12" spans="1:4" x14ac:dyDescent="0.25">
      <c r="A12" s="10">
        <v>6</v>
      </c>
      <c r="B12" s="11"/>
      <c r="C12" s="11"/>
      <c r="D12" s="25">
        <f t="shared" si="0"/>
        <v>0</v>
      </c>
    </row>
    <row r="13" spans="1:4" x14ac:dyDescent="0.25">
      <c r="A13" s="10">
        <v>7</v>
      </c>
      <c r="B13" s="129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420773</v>
      </c>
      <c r="C38" s="11">
        <f>SUM(C7:C37)</f>
        <v>419857</v>
      </c>
      <c r="D38" s="11">
        <f>SUM(D7:D37)</f>
        <v>-916</v>
      </c>
    </row>
    <row r="39" spans="1:8" x14ac:dyDescent="0.25">
      <c r="A39" s="26"/>
      <c r="C39" s="14"/>
      <c r="D39" s="106">
        <f>+summary!G3</f>
        <v>2.06</v>
      </c>
    </row>
    <row r="40" spans="1:8" x14ac:dyDescent="0.25">
      <c r="D40" s="138">
        <f>+D39*D38</f>
        <v>-1886.96</v>
      </c>
      <c r="H40">
        <v>20</v>
      </c>
    </row>
    <row r="41" spans="1:8" x14ac:dyDescent="0.25">
      <c r="A41" s="57">
        <v>37287</v>
      </c>
      <c r="C41" s="15"/>
      <c r="D41" s="541">
        <v>-13712</v>
      </c>
      <c r="H41">
        <v>530</v>
      </c>
    </row>
    <row r="42" spans="1:8" x14ac:dyDescent="0.25">
      <c r="A42" s="57">
        <v>37290</v>
      </c>
      <c r="D42" s="319">
        <f>+D41+D40</f>
        <v>-15598.96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37287</v>
      </c>
      <c r="B47" s="32"/>
      <c r="C47" s="32"/>
      <c r="D47" s="523">
        <v>-9206</v>
      </c>
    </row>
    <row r="48" spans="1:8" x14ac:dyDescent="0.25">
      <c r="A48" s="49">
        <f>+A42</f>
        <v>37290</v>
      </c>
      <c r="B48" s="32"/>
      <c r="C48" s="32"/>
      <c r="D48" s="350">
        <f>+D38</f>
        <v>-916</v>
      </c>
    </row>
    <row r="49" spans="1:4" x14ac:dyDescent="0.25">
      <c r="A49" s="32"/>
      <c r="B49" s="32"/>
      <c r="C49" s="32"/>
      <c r="D49" s="14">
        <f>+D48+D47</f>
        <v>-10122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0" sqref="C30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5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5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5">
      <c r="A7" s="10">
        <v>4</v>
      </c>
      <c r="B7" s="129"/>
      <c r="C7" s="11"/>
      <c r="D7" s="25">
        <f t="shared" si="0"/>
        <v>0</v>
      </c>
    </row>
    <row r="8" spans="1:4" x14ac:dyDescent="0.25">
      <c r="A8" s="10">
        <v>5</v>
      </c>
      <c r="B8" s="129"/>
      <c r="C8" s="11"/>
      <c r="D8" s="25">
        <f t="shared" si="0"/>
        <v>0</v>
      </c>
    </row>
    <row r="9" spans="1:4" x14ac:dyDescent="0.25">
      <c r="A9" s="10">
        <v>6</v>
      </c>
      <c r="B9" s="129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-733968</v>
      </c>
      <c r="C35" s="11">
        <f>SUM(C4:C34)</f>
        <v>-730600</v>
      </c>
      <c r="D35" s="11">
        <f>SUM(D4:D34)</f>
        <v>3368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37287</v>
      </c>
      <c r="D38" s="530">
        <v>28722</v>
      </c>
    </row>
    <row r="39" spans="1:30" x14ac:dyDescent="0.25">
      <c r="A39" s="12"/>
      <c r="D39" s="51"/>
    </row>
    <row r="40" spans="1:30" x14ac:dyDescent="0.25">
      <c r="A40" s="245">
        <v>37290</v>
      </c>
      <c r="D40" s="51">
        <f>+D38+D35</f>
        <v>32090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73"/>
      <c r="K44"/>
    </row>
    <row r="45" spans="1:30" x14ac:dyDescent="0.25">
      <c r="A45" s="49">
        <f>+A38</f>
        <v>37287</v>
      </c>
      <c r="B45" s="32"/>
      <c r="C45" s="32"/>
      <c r="D45" s="549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37290</v>
      </c>
      <c r="B46" s="32"/>
      <c r="C46" s="32"/>
      <c r="D46" s="375">
        <f>+D35*'by type_area'!G4</f>
        <v>6938.08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-136730.92000000001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0" sqref="C30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5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5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5">
      <c r="A7" s="10">
        <v>4</v>
      </c>
      <c r="B7" s="11"/>
      <c r="C7" s="11"/>
      <c r="D7" s="11"/>
      <c r="E7" s="11"/>
      <c r="F7" s="25">
        <f t="shared" si="0"/>
        <v>0</v>
      </c>
      <c r="H7" s="10"/>
      <c r="I7" s="11"/>
      <c r="K7" s="25"/>
    </row>
    <row r="8" spans="1:11" x14ac:dyDescent="0.25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5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5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5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5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5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-1819697</v>
      </c>
      <c r="C35" s="11">
        <f>SUM(C4:C34)</f>
        <v>-1830507</v>
      </c>
      <c r="D35" s="11">
        <f>SUM(D4:D34)</f>
        <v>0</v>
      </c>
      <c r="E35" s="11">
        <f>SUM(E4:E34)</f>
        <v>0</v>
      </c>
      <c r="F35" s="11">
        <f>SUM(F4:F34)</f>
        <v>-10810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37287</v>
      </c>
      <c r="D38" s="246"/>
      <c r="E38" s="246"/>
      <c r="F38" s="532">
        <v>94012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37290</v>
      </c>
      <c r="D40" s="246"/>
      <c r="E40" s="246"/>
      <c r="F40" s="51">
        <f>+F38+F35</f>
        <v>83202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37287</v>
      </c>
      <c r="B45" s="32"/>
      <c r="C45" s="32"/>
      <c r="D45" s="549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37290</v>
      </c>
      <c r="B46" s="32"/>
      <c r="C46" s="32"/>
      <c r="D46" s="474">
        <f>+F35*'by type_area'!G4</f>
        <v>-22268.600000000002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72">
        <f>+D46+D45</f>
        <v>287999.40000000002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8" workbookViewId="0">
      <selection activeCell="B21" sqref="B21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8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9" t="s">
        <v>49</v>
      </c>
      <c r="Q3" s="520" t="s">
        <v>15</v>
      </c>
      <c r="R3" s="521" t="s">
        <v>27</v>
      </c>
    </row>
    <row r="4" spans="1:19" ht="18" customHeight="1" x14ac:dyDescent="0.2">
      <c r="A4" s="41">
        <v>1</v>
      </c>
      <c r="B4" s="11"/>
      <c r="C4" s="11"/>
      <c r="D4" s="11"/>
      <c r="E4" s="11"/>
      <c r="F4" s="11"/>
      <c r="G4" s="11"/>
      <c r="H4" s="11">
        <f>+G4+E4+C4-F4-D4-B4</f>
        <v>0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/>
      <c r="C5" s="11"/>
      <c r="D5" s="129"/>
      <c r="E5" s="11"/>
      <c r="F5" s="11"/>
      <c r="G5" s="11"/>
      <c r="H5" s="11">
        <f t="shared" ref="H5:H34" si="0">+G5+E5+C5-F5-D5-B5</f>
        <v>0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/>
      <c r="C6" s="11"/>
      <c r="D6" s="11"/>
      <c r="E6" s="11"/>
      <c r="F6" s="11"/>
      <c r="G6" s="11"/>
      <c r="H6" s="11">
        <f t="shared" si="0"/>
        <v>0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/>
      <c r="C7" s="11"/>
      <c r="D7" s="129"/>
      <c r="E7" s="11"/>
      <c r="F7" s="11"/>
      <c r="G7" s="11"/>
      <c r="H7" s="11">
        <f t="shared" si="0"/>
        <v>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3.2" x14ac:dyDescent="0.25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0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0"/>
      <c r="L34" s="11"/>
      <c r="M34" s="11"/>
      <c r="N34" s="11"/>
    </row>
    <row r="35" spans="1:14" x14ac:dyDescent="0.2">
      <c r="A35" s="41"/>
      <c r="B35" s="11">
        <f t="shared" ref="B35:H35" si="3">SUM(B4:B34)</f>
        <v>0</v>
      </c>
      <c r="C35" s="44">
        <f t="shared" si="3"/>
        <v>0</v>
      </c>
      <c r="D35" s="11">
        <f t="shared" si="3"/>
        <v>0</v>
      </c>
      <c r="E35" s="44">
        <f t="shared" si="3"/>
        <v>0</v>
      </c>
      <c r="F35" s="11">
        <f t="shared" si="3"/>
        <v>0</v>
      </c>
      <c r="G35" s="11">
        <f t="shared" si="3"/>
        <v>0</v>
      </c>
      <c r="H35" s="11">
        <f t="shared" si="3"/>
        <v>0</v>
      </c>
      <c r="I35" s="11"/>
      <c r="J35" s="102"/>
      <c r="K35" s="51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2.06</v>
      </c>
      <c r="I36" s="11"/>
      <c r="J36" s="102"/>
      <c r="K36" s="51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0</v>
      </c>
      <c r="I37" s="11"/>
      <c r="J37" s="102"/>
      <c r="K37" s="510"/>
      <c r="L37" s="11"/>
      <c r="M37" s="11"/>
      <c r="N37" s="11"/>
    </row>
    <row r="38" spans="1:14" x14ac:dyDescent="0.2">
      <c r="C38" s="24"/>
      <c r="D38" s="47"/>
      <c r="E38" s="476">
        <v>37287</v>
      </c>
      <c r="F38" s="473"/>
      <c r="G38" s="265"/>
      <c r="H38" s="495">
        <v>9867</v>
      </c>
      <c r="I38" s="262"/>
      <c r="J38" s="102"/>
      <c r="K38" s="511"/>
      <c r="L38" s="14"/>
      <c r="M38" s="14"/>
      <c r="N38" s="16"/>
    </row>
    <row r="39" spans="1:14" x14ac:dyDescent="0.2">
      <c r="C39" s="14"/>
      <c r="D39" s="47"/>
      <c r="E39" s="263">
        <v>37287</v>
      </c>
      <c r="F39" s="473"/>
      <c r="G39" s="473"/>
      <c r="H39" s="319">
        <f>+H38+H37</f>
        <v>9867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2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5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37287</v>
      </c>
      <c r="E47" s="459">
        <f>+H35</f>
        <v>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32476</v>
      </c>
      <c r="F48" s="129"/>
      <c r="G48" s="129"/>
      <c r="H48" s="129"/>
      <c r="I48" s="262"/>
      <c r="J48" s="102"/>
      <c r="K48" s="514"/>
      <c r="L48" s="38"/>
      <c r="M48" s="4"/>
    </row>
    <row r="49" spans="1:15" ht="13.2" x14ac:dyDescent="0.25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5"/>
      <c r="L91" s="6"/>
      <c r="M91" s="6"/>
    </row>
    <row r="92" spans="1:14" x14ac:dyDescent="0.2">
      <c r="I92" s="11"/>
      <c r="J92" s="11"/>
      <c r="K92" s="510"/>
      <c r="L92" s="11"/>
      <c r="M92" s="11"/>
      <c r="N92" s="11"/>
    </row>
    <row r="93" spans="1:14" x14ac:dyDescent="0.2">
      <c r="G93" s="41"/>
      <c r="H93" s="11"/>
      <c r="I93" s="11"/>
      <c r="J93" s="11"/>
      <c r="K93" s="510"/>
      <c r="L93" s="11"/>
      <c r="M93" s="11"/>
      <c r="N93" s="11"/>
    </row>
    <row r="94" spans="1:14" x14ac:dyDescent="0.2">
      <c r="G94" s="41"/>
      <c r="H94" s="11"/>
      <c r="I94" s="11"/>
      <c r="J94" s="11"/>
      <c r="K94" s="510"/>
      <c r="L94" s="11"/>
      <c r="M94" s="11"/>
      <c r="N94" s="11"/>
    </row>
    <row r="95" spans="1:14" x14ac:dyDescent="0.2">
      <c r="G95" s="41"/>
      <c r="H95" s="11"/>
      <c r="I95" s="11"/>
      <c r="J95" s="11"/>
      <c r="K95" s="510"/>
      <c r="L95" s="11"/>
      <c r="M95" s="11"/>
      <c r="N95" s="11"/>
    </row>
    <row r="96" spans="1:14" x14ac:dyDescent="0.2">
      <c r="G96" s="41"/>
      <c r="H96" s="11"/>
      <c r="I96" s="11"/>
      <c r="J96" s="11"/>
      <c r="K96" s="510"/>
      <c r="L96" s="11"/>
      <c r="M96" s="11"/>
      <c r="N96" s="11"/>
    </row>
    <row r="97" spans="7:14" x14ac:dyDescent="0.2">
      <c r="G97" s="41"/>
      <c r="H97" s="11"/>
      <c r="I97" s="11"/>
      <c r="J97" s="11"/>
      <c r="K97" s="510"/>
      <c r="L97" s="11"/>
      <c r="M97" s="11"/>
      <c r="N97" s="11"/>
    </row>
    <row r="98" spans="7:14" x14ac:dyDescent="0.2">
      <c r="G98" s="41"/>
      <c r="H98" s="11"/>
      <c r="I98" s="11"/>
      <c r="J98" s="11"/>
      <c r="K98" s="510"/>
      <c r="L98" s="11"/>
      <c r="M98" s="11"/>
      <c r="N98" s="11"/>
    </row>
    <row r="99" spans="7:14" x14ac:dyDescent="0.2">
      <c r="G99" s="41"/>
      <c r="H99" s="11"/>
      <c r="I99" s="11"/>
      <c r="J99" s="11"/>
      <c r="K99" s="510"/>
      <c r="L99" s="11"/>
      <c r="M99" s="11"/>
      <c r="N99" s="11"/>
    </row>
    <row r="100" spans="7:14" x14ac:dyDescent="0.2">
      <c r="G100" s="41"/>
      <c r="H100" s="11"/>
      <c r="I100" s="11"/>
      <c r="J100" s="11"/>
      <c r="K100" s="51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3"/>
      <c r="L127" s="50"/>
      <c r="M127" s="50"/>
      <c r="N127" s="106"/>
    </row>
    <row r="128" spans="7:14" x14ac:dyDescent="0.2">
      <c r="G128" s="57"/>
      <c r="J128" s="50"/>
      <c r="K128" s="51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4"/>
      <c r="L133" s="38"/>
      <c r="M133" s="4"/>
    </row>
    <row r="134" spans="7:14" x14ac:dyDescent="0.2">
      <c r="G134" s="39"/>
      <c r="H134" s="6"/>
      <c r="I134" s="40"/>
      <c r="J134" s="6"/>
      <c r="K134" s="515"/>
      <c r="L134" s="6"/>
      <c r="M134" s="6"/>
    </row>
    <row r="135" spans="7:14" x14ac:dyDescent="0.2">
      <c r="G135" s="41"/>
      <c r="H135" s="11"/>
      <c r="I135" s="11"/>
      <c r="J135" s="11"/>
      <c r="K135" s="51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3"/>
      <c r="L171" s="57"/>
      <c r="M171" s="50"/>
      <c r="N171" s="106"/>
    </row>
    <row r="172" spans="7:14" x14ac:dyDescent="0.2">
      <c r="J172" s="50"/>
      <c r="K172" s="51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4"/>
      <c r="L177" s="38"/>
      <c r="M177" s="4"/>
    </row>
    <row r="178" spans="7:14" x14ac:dyDescent="0.2">
      <c r="G178" s="39"/>
      <c r="H178" s="6"/>
      <c r="I178" s="40"/>
      <c r="J178" s="6"/>
      <c r="K178" s="515"/>
      <c r="L178" s="6"/>
      <c r="M178" s="6"/>
    </row>
    <row r="179" spans="7:14" x14ac:dyDescent="0.2">
      <c r="G179" s="41"/>
      <c r="H179" s="11"/>
      <c r="I179" s="11"/>
      <c r="J179" s="11"/>
      <c r="K179" s="51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3"/>
      <c r="L215" s="57"/>
      <c r="M215" s="50"/>
      <c r="N215" s="106"/>
    </row>
    <row r="216" spans="7:14" x14ac:dyDescent="0.2">
      <c r="J216" s="50"/>
      <c r="K216" s="51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4"/>
      <c r="L220" s="38"/>
      <c r="M220" s="4"/>
    </row>
    <row r="221" spans="7:14" x14ac:dyDescent="0.2">
      <c r="G221" s="39"/>
      <c r="H221" s="6"/>
      <c r="I221" s="40"/>
      <c r="J221" s="6"/>
      <c r="K221" s="515"/>
      <c r="L221" s="6"/>
      <c r="M221" s="6"/>
    </row>
    <row r="222" spans="7:14" x14ac:dyDescent="0.2">
      <c r="G222" s="41"/>
      <c r="H222" s="11"/>
      <c r="I222" s="11"/>
      <c r="J222" s="11"/>
      <c r="K222" s="51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3"/>
      <c r="L258" s="57"/>
      <c r="M258" s="50"/>
      <c r="N258" s="106"/>
    </row>
    <row r="259" spans="10:14" x14ac:dyDescent="0.2">
      <c r="J259" s="50"/>
      <c r="K259" s="51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8" sqref="E8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1"/>
      <c r="E8" s="129"/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-943287</v>
      </c>
      <c r="E36" s="11">
        <f t="shared" si="15"/>
        <v>-946403</v>
      </c>
      <c r="F36" s="11">
        <f t="shared" si="15"/>
        <v>0</v>
      </c>
      <c r="G36" s="11">
        <f t="shared" si="15"/>
        <v>0</v>
      </c>
      <c r="H36" s="11">
        <f t="shared" si="15"/>
        <v>-3116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-3116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37287</v>
      </c>
      <c r="B38" s="2" t="s">
        <v>45</v>
      </c>
      <c r="C38" s="538">
        <v>64269</v>
      </c>
      <c r="D38" s="320"/>
      <c r="E38" s="539">
        <v>-19279</v>
      </c>
      <c r="F38" s="24"/>
      <c r="G38" s="24"/>
      <c r="H38" s="236">
        <f>+C38+E38+G38</f>
        <v>44990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37290</v>
      </c>
      <c r="B39" s="2" t="s">
        <v>45</v>
      </c>
      <c r="C39" s="131">
        <f>+C38+C37</f>
        <v>64269</v>
      </c>
      <c r="D39" s="252"/>
      <c r="E39" s="131">
        <f>+E38+E37</f>
        <v>-22395</v>
      </c>
      <c r="F39" s="252"/>
      <c r="G39" s="131"/>
      <c r="H39" s="131">
        <f>+H38+H36</f>
        <v>41874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37287</v>
      </c>
      <c r="B44" s="32"/>
      <c r="C44" s="550">
        <v>-1582961.01</v>
      </c>
      <c r="D44" s="205"/>
      <c r="E44" s="551">
        <v>925707</v>
      </c>
      <c r="F44" s="47">
        <f>+E44+C44</f>
        <v>-657254.01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37290</v>
      </c>
      <c r="B45" s="32"/>
      <c r="C45" s="47">
        <f>+C37*summary!G4</f>
        <v>0</v>
      </c>
      <c r="D45" s="205"/>
      <c r="E45" s="377">
        <f>+E37*summary!G3</f>
        <v>-6418.96</v>
      </c>
      <c r="F45" s="47">
        <f>+E45+C45</f>
        <v>-6418.96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4" sqref="E34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187475</v>
      </c>
      <c r="C10" s="11">
        <v>187219</v>
      </c>
      <c r="D10" s="11">
        <v>12604</v>
      </c>
      <c r="E10" s="11">
        <v>13033</v>
      </c>
      <c r="F10" s="11">
        <f t="shared" si="5"/>
        <v>173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/>
      <c r="C11" s="11"/>
      <c r="D11" s="11"/>
      <c r="E11" s="11"/>
      <c r="F11" s="11">
        <f t="shared" si="5"/>
        <v>0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/>
      <c r="C15" s="11"/>
      <c r="D15" s="129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/>
      <c r="C16" s="11"/>
      <c r="D16" s="553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00">
        <f>+A45</f>
        <v>37290</v>
      </c>
      <c r="I23" s="11">
        <f>+B39</f>
        <v>546591</v>
      </c>
      <c r="J23" s="11">
        <f>+C39</f>
        <v>545863</v>
      </c>
      <c r="K23" s="11">
        <f>+D39</f>
        <v>38117</v>
      </c>
      <c r="L23" s="11">
        <f>+E39</f>
        <v>38446</v>
      </c>
      <c r="M23" s="42">
        <f>+J23-I23+L23-K23</f>
        <v>-399</v>
      </c>
      <c r="N23" s="102">
        <f>+summary!G3</f>
        <v>2.06</v>
      </c>
      <c r="O23" s="502">
        <f>+N23*M23</f>
        <v>-821.94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01">
        <f>SUM(M9:M23)</f>
        <v>89401</v>
      </c>
      <c r="N24" s="102"/>
      <c r="O24" s="102">
        <f>SUM(O9:O23)</f>
        <v>567294.4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9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546591</v>
      </c>
      <c r="C39" s="150">
        <f>SUM(C8:C38)</f>
        <v>545863</v>
      </c>
      <c r="D39" s="150">
        <f>SUM(D8:D38)</f>
        <v>38117</v>
      </c>
      <c r="E39" s="150">
        <f>SUM(E8:E38)</f>
        <v>38446</v>
      </c>
      <c r="F39" s="11">
        <f t="shared" si="5"/>
        <v>-399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37287</v>
      </c>
      <c r="B44" s="32"/>
      <c r="C44" s="462"/>
      <c r="D44" s="111"/>
      <c r="E44" s="462"/>
      <c r="F44" s="493">
        <v>18002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37290</v>
      </c>
      <c r="B45" s="32"/>
      <c r="C45" s="106"/>
      <c r="D45" s="106"/>
      <c r="E45" s="106"/>
      <c r="F45" s="24">
        <f>+F44+F39</f>
        <v>17603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290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37287</v>
      </c>
      <c r="B50" s="32"/>
      <c r="C50" s="32"/>
      <c r="D50" s="493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37290</v>
      </c>
      <c r="B51" s="32"/>
      <c r="C51" s="32"/>
      <c r="D51" s="350">
        <f>+F39*summary!G3</f>
        <v>-821.94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408432.06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2002-02-04T17:10:29Z</cp:lastPrinted>
  <dcterms:created xsi:type="dcterms:W3CDTF">2000-03-28T16:52:23Z</dcterms:created>
  <dcterms:modified xsi:type="dcterms:W3CDTF">2023-09-10T12:01:23Z</dcterms:modified>
</cp:coreProperties>
</file>