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volvalue" sheetId="82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mktg" sheetId="83" r:id="rId37"/>
    <sheet name="WTG inc" sheetId="91" r:id="rId38"/>
    <sheet name="Dominion" sheetId="85" r:id="rId39"/>
    <sheet name="Devon" sheetId="86" r:id="rId40"/>
    <sheet name="crosstex" sheetId="87" r:id="rId41"/>
    <sheet name="Amarillo" sheetId="88" r:id="rId42"/>
    <sheet name="SWGasTrans" sheetId="90" r:id="rId43"/>
    <sheet name="burlington" sheetId="69" r:id="rId44"/>
  </sheets>
  <externalReferences>
    <externalReference r:id="rId45"/>
    <externalReference r:id="rId46"/>
    <externalReference r:id="rId47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Agave!$A$3:$D$24</definedName>
    <definedName name="_xlnm.Print_Area" localSheetId="10">Amoco!$A$4:$D$40</definedName>
    <definedName name="_xlnm.Print_Area" localSheetId="19">'Amoco Abo'!$A$6:$F$43</definedName>
    <definedName name="_xlnm.Print_Area" localSheetId="0">'by type_area'!$A$49:$M$86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38">Dominion!$A$3:$D$48</definedName>
    <definedName name="_xlnm.Print_Area" localSheetId="16">Duke!$I$6:$Q$16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NGPL!$A$1:$F$39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PGETX!$A$1:$H$41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1">summary!$A$2:$I$57</definedName>
    <definedName name="_xlnm.Print_Area" localSheetId="2">volvalue!$A$3:$L$36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B44" i="80"/>
  <c r="C44" i="80"/>
  <c r="D44" i="80"/>
  <c r="E44" i="80"/>
  <c r="J50" i="80"/>
  <c r="K50" i="80"/>
  <c r="J51" i="80"/>
  <c r="J52" i="80"/>
  <c r="B59" i="80"/>
  <c r="C59" i="80"/>
  <c r="D59" i="80"/>
  <c r="E59" i="80"/>
  <c r="F59" i="80"/>
  <c r="B60" i="80"/>
  <c r="C60" i="80"/>
  <c r="D60" i="80"/>
  <c r="E60" i="80"/>
  <c r="F60" i="80"/>
  <c r="B61" i="80"/>
  <c r="C61" i="80"/>
  <c r="D61" i="80"/>
  <c r="E61" i="80"/>
  <c r="F61" i="80"/>
  <c r="B62" i="80"/>
  <c r="C62" i="80"/>
  <c r="D62" i="80"/>
  <c r="E62" i="80"/>
  <c r="F62" i="80"/>
  <c r="B63" i="80"/>
  <c r="C63" i="80"/>
  <c r="D63" i="80"/>
  <c r="E63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1" i="80"/>
  <c r="C81" i="80"/>
  <c r="D81" i="80"/>
  <c r="E81" i="80"/>
  <c r="B84" i="80"/>
  <c r="B85" i="80"/>
  <c r="A123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D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6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39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0" i="81"/>
  <c r="D41" i="81"/>
  <c r="F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O27" i="63"/>
  <c r="B28" i="63"/>
  <c r="C28" i="63"/>
  <c r="D28" i="63"/>
  <c r="O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121" i="63"/>
  <c r="B144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L5" i="82"/>
  <c r="L7" i="82"/>
  <c r="L8" i="82"/>
  <c r="L9" i="82"/>
  <c r="L10" i="82"/>
  <c r="L11" i="82"/>
  <c r="L12" i="82"/>
  <c r="L13" i="82"/>
  <c r="L14" i="82"/>
  <c r="L15" i="82"/>
  <c r="B16" i="82"/>
  <c r="C16" i="82"/>
  <c r="D16" i="82"/>
  <c r="E16" i="82"/>
  <c r="F16" i="82"/>
  <c r="G16" i="82"/>
  <c r="H16" i="82"/>
  <c r="I16" i="82"/>
  <c r="J16" i="82"/>
  <c r="K16" i="82"/>
  <c r="L16" i="82"/>
  <c r="L18" i="82"/>
  <c r="C19" i="82"/>
  <c r="D19" i="82"/>
  <c r="E19" i="82"/>
  <c r="F19" i="82"/>
  <c r="G19" i="82"/>
  <c r="H19" i="82"/>
  <c r="I19" i="82"/>
  <c r="J19" i="82"/>
  <c r="K19" i="82"/>
  <c r="L19" i="82"/>
  <c r="D20" i="82"/>
  <c r="E20" i="82"/>
  <c r="F20" i="82"/>
  <c r="G20" i="82"/>
  <c r="H20" i="82"/>
  <c r="I20" i="82"/>
  <c r="J20" i="82"/>
  <c r="K20" i="82"/>
  <c r="L20" i="82"/>
  <c r="L23" i="82"/>
  <c r="L24" i="82"/>
  <c r="L25" i="82"/>
  <c r="L26" i="82"/>
  <c r="B27" i="82"/>
  <c r="C27" i="82"/>
  <c r="D27" i="82"/>
  <c r="E27" i="82"/>
  <c r="F27" i="82"/>
  <c r="G27" i="82"/>
  <c r="H27" i="82"/>
  <c r="I27" i="82"/>
  <c r="J27" i="82"/>
  <c r="K27" i="82"/>
  <c r="L27" i="82"/>
  <c r="L29" i="82"/>
  <c r="C30" i="82"/>
  <c r="D30" i="82"/>
  <c r="E30" i="82"/>
  <c r="F30" i="82"/>
  <c r="G30" i="82"/>
  <c r="H30" i="82"/>
  <c r="I30" i="82"/>
  <c r="J30" i="82"/>
  <c r="K30" i="82"/>
  <c r="L30" i="82"/>
  <c r="D31" i="82"/>
  <c r="E31" i="82"/>
  <c r="F31" i="82"/>
  <c r="G31" i="82"/>
  <c r="H31" i="82"/>
  <c r="I31" i="82"/>
  <c r="J31" i="82"/>
  <c r="K31" i="82"/>
  <c r="L31" i="82"/>
  <c r="D34" i="82"/>
  <c r="E34" i="82"/>
  <c r="F34" i="82"/>
  <c r="G34" i="82"/>
  <c r="H34" i="82"/>
  <c r="I34" i="82"/>
  <c r="J34" i="82"/>
  <c r="K34" i="82"/>
  <c r="L34" i="82"/>
  <c r="H38" i="82"/>
  <c r="I38" i="82"/>
  <c r="J38" i="82"/>
  <c r="K38" i="82"/>
  <c r="L38" i="82"/>
  <c r="H40" i="82"/>
  <c r="I40" i="82"/>
  <c r="J40" i="82"/>
  <c r="K40" i="82"/>
  <c r="K42" i="82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<sst xmlns="http://schemas.openxmlformats.org/spreadsheetml/2006/main" count="931" uniqueCount="330">
  <si>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</si>
  <si>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</si>
  <si>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</si>
  <si>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</si>
  <si>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</si>
  <si>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</si>
  <si>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</si>
  <si>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</si>
  <si>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</si>
  <si>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</si>
  <si>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</si>
  <si>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</si>
  <si>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</si>
  <si>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</si>
  <si>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</si>
  <si>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</si>
  <si>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</si>
  <si>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</si>
  <si>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</si>
  <si>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</si>
  <si>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</si>
  <si>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</si>
  <si>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</si>
  <si>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</si>
  <si>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</si>
  <si>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</si>
  <si>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</si>
  <si>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</si>
  <si>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</si>
  <si>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</si>
  <si>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</si>
  <si>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</si>
  <si>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</si>
  <si>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</si>
  <si>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</si>
  <si>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</si>
  <si>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</si>
  <si>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</si>
  <si>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</si>
  <si>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</si>
  <si>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</si>
  <si>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</si>
  <si>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</si>
  <si>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</si>
  <si>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</si>
  <si>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</si>
  <si>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</si>
  <si>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</si>
  <si>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</si>
  <si>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</si>
  <si>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</si>
  <si>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</si>
  <si>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</si>
  <si>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</si>
  <si>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</si>
  <si>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</si>
  <si>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</si>
  <si>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</si>
  <si>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</si>
  <si>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</si>
  <si>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</si>
  <si>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</si>
  <si>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</si>
  <si>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</si>
  <si>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</si>
  <si>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</si>
  <si>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</si>
  <si>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</si>
  <si>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</si>
  <si>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</si>
  <si>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</si>
  <si>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</si>
  <si>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</si>
  <si>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</si>
  <si>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</si>
  <si>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</si>
  <si>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</si>
  <si>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</si>
  <si>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</si>
  <si>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</si>
  <si>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</si>
  <si>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</si>
  <si>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</si>
  <si>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</si>
  <si>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</si>
  <si>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</si>
  <si>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</si>
  <si>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</si>
  <si>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</si>
  <si>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</si>
  <si>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</si>
  <si>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</si>
  <si>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</si>
  <si>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</si>
  <si>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</si>
  <si>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</si>
  <si>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</si>
  <si>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</si>
  <si>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</si>
  <si>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</si>
  <si>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</si>
  <si>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</si>
  <si>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</si>
  <si>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</si>
  <si>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</si>
  <si>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</si>
  <si>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</si>
  <si>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</si>
  <si>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</si>
  <si>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</si>
  <si>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</si>
  <si>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</si>
  <si>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</si>
  <si>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</si>
  <si>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</si>
  <si>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</si>
  <si>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</si>
  <si>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</si>
  <si>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</si>
  <si>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</si>
  <si>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</si>
  <si>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</si>
  <si>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</si>
  <si>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</si>
  <si>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</si>
  <si>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</si>
  <si>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</si>
  <si>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</si>
  <si>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</si>
  <si>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</si>
  <si>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</si>
  <si>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</si>
  <si>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</si>
  <si>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</si>
  <si>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</si>
  <si>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</si>
  <si>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</si>
  <si>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</si>
  <si>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</si>
  <si>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</si>
  <si>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</si>
  <si>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</si>
  <si>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</si>
  <si>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</si>
  <si>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</si>
  <si>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</si>
  <si>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</si>
  <si>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</si>
  <si>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</si>
  <si>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</si>
  <si>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</si>
  <si>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</si>
  <si>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</si>
  <si>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</si>
  <si>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</si>
  <si>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</si>
  <si>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</si>
  <si>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</si>
  <si>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</si>
  <si>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</si>
  <si>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</si>
  <si>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</si>
  <si>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</si>
  <si>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</si>
  <si>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</si>
  <si>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</si>
  <si>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</si>
  <si>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</si>
  <si>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</si>
  <si>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</si>
  <si>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</si>
  <si>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</si>
  <si>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</si>
  <si>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</si>
  <si>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</si>
  <si>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</si>
  <si>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</si>
  <si>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</si>
  <si>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</si>
  <si>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</si>
  <si>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</si>
  <si>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</si>
  <si>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</si>
  <si>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</si>
  <si>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</si>
  <si>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</si>
  <si>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</si>
  <si>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</si>
  <si>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</si>
  <si>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</si>
  <si>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</si>
  <si>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</si>
  <si>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</si>
  <si>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</si>
  <si>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</si>
  <si>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</si>
  <si>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</si>
  <si>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</si>
  <si>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</si>
  <si>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</si>
  <si>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</si>
  <si>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</si>
  <si>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</si>
  <si>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</si>
  <si>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</si>
  <si>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</si>
  <si>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</si>
  <si>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</si>
  <si>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Amoco-Florida Plant</t>
  </si>
  <si>
    <t>NGPL - Winkler</t>
  </si>
  <si>
    <t>NGPL - Gray</t>
  </si>
  <si>
    <t>TW average index</t>
  </si>
  <si>
    <t>TW San Juan Blanco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</si>
  <si>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</si>
  <si>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</si>
  <si>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</si>
  <si>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</si>
  <si>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</si>
  <si>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</si>
  <si>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</si>
  <si>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</si>
  <si>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</si>
  <si>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</si>
  <si>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</si>
  <si>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</si>
  <si>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</si>
  <si>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</si>
  <si>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</si>
  <si>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</si>
  <si>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</si>
  <si>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</si>
  <si>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</si>
  <si>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</si>
  <si>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</si>
  <si>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</si>
  <si>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</si>
  <si>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</si>
  <si>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</si>
  <si>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</si>
  <si>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</si>
  <si>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</si>
  <si>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</si>
  <si>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</si>
  <si>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</si>
  <si>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</si>
  <si>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</si>
  <si>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</si>
  <si>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</si>
  <si>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</si>
  <si>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</si>
  <si>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</si>
  <si>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</si>
  <si>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</si>
  <si>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</si>
  <si>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</si>
  <si>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</si>
  <si>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</si>
  <si>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</si>
  <si>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</si>
  <si>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</si>
  <si>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</si>
  <si>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</si>
  <si>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</si>
  <si>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</si>
  <si>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</si>
  <si>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</si>
  <si>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</si>
  <si>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</si>
  <si>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</si>
  <si>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</si>
  <si>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</si>
  <si>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</si>
  <si>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</si>
  <si>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</si>
  <si>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</si>
  <si>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</si>
  <si>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</si>
  <si>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</si>
  <si>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</si>
  <si>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</si>
  <si>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</si>
  <si>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</si>
  <si>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</si>
  <si>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</si>
  <si>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</si>
  <si>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</si>
  <si>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</si>
  <si>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</si>
  <si>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</si>
  <si>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</si>
  <si>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</si>
  <si>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</si>
  <si>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</si>
  <si>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</si>
  <si>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</si>
  <si>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</si>
  <si>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</si>
  <si>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</si>
  <si>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</si>
  <si>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</si>
  <si>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</si>
  <si>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</si>
  <si>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</si>
  <si>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</si>
  <si>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</si>
  <si>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</si>
  <si>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</si>
  <si>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</si>
  <si>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</si>
  <si>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</si>
  <si>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</si>
  <si>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</si>
  <si>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</si>
  <si>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</si>
  <si>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</si>
  <si>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</si>
  <si>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</si>
  <si>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</si>
  <si>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bal is for Dec only - Balance at 11/30 is 135,710 mmbtus-Williams is reviewing cash out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</si>
  <si>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</si>
  <si>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</si>
  <si>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</si>
  <si>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</si>
  <si>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</si>
  <si>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</si>
  <si>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</si>
  <si>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</si>
  <si>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Crawford points</t>
  </si>
  <si>
    <t>Hobbs, Artesia, Colburn, Feldman</t>
  </si>
  <si>
    <t>Waha, Pecos 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</si>
</sst>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5" fontId="25" fillId="5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3" fillId="2" borderId="0" xfId="0" applyFont="1" applyFill="1" applyBorder="1"/>
    <xf numFmtId="5" fontId="0" fillId="2" borderId="0" xfId="0" applyNumberFormat="1" applyFill="1" applyBorder="1"/>
    <xf numFmtId="37" fontId="0" fillId="0" borderId="0" xfId="1" applyNumberFormat="1" applyFont="1" applyBorder="1"/>
    <xf numFmtId="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17" fontId="6" fillId="0" borderId="0" xfId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/>
    <xf numFmtId="17" fontId="9" fillId="0" borderId="0" xfId="0" applyNumberFormat="1" applyFont="1" applyBorder="1"/>
    <xf numFmtId="17" fontId="0" fillId="0" borderId="0" xfId="0" applyNumberFormat="1" applyBorder="1"/>
    <xf numFmtId="0" fontId="14" fillId="0" borderId="0" xfId="0" applyFont="1" applyBorder="1"/>
    <xf numFmtId="5" fontId="0" fillId="0" borderId="0" xfId="0" applyNumberFormat="1" applyBorder="1"/>
    <xf numFmtId="17" fontId="6" fillId="0" borderId="0" xfId="0" applyNumberFormat="1" applyFont="1" applyFill="1" applyBorder="1" applyAlignment="1">
      <alignment horizontal="center"/>
    </xf>
    <xf numFmtId="166" fontId="8" fillId="0" borderId="0" xfId="1" applyNumberFormat="1" applyFont="1" applyBorder="1" applyAlignment="1"/>
    <xf numFmtId="166" fontId="8" fillId="0" borderId="0" xfId="1" applyNumberFormat="1" applyFont="1" applyBorder="1"/>
    <xf numFmtId="166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 applyAlignment="1">
      <alignment horizontal="right"/>
    </xf>
    <xf numFmtId="166" fontId="37" fillId="0" borderId="0" xfId="1" applyNumberFormat="1" applyFont="1" applyBorder="1"/>
    <xf numFmtId="0" fontId="9" fillId="0" borderId="0" xfId="0" applyFont="1" applyFill="1" applyBorder="1"/>
    <xf numFmtId="166" fontId="8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/>
    <xf numFmtId="0" fontId="14" fillId="0" borderId="0" xfId="0" applyFont="1" applyBorder="1" applyAlignment="1">
      <alignment horizontal="right"/>
    </xf>
    <xf numFmtId="43" fontId="8" fillId="0" borderId="0" xfId="1" applyNumberFormat="1" applyFont="1" applyBorder="1"/>
    <xf numFmtId="5" fontId="8" fillId="0" borderId="0" xfId="1" applyNumberFormat="1" applyFont="1" applyBorder="1"/>
    <xf numFmtId="5" fontId="8" fillId="0" borderId="0" xfId="1" applyNumberFormat="1" applyFont="1" applyBorder="1" applyAlignment="1"/>
    <xf numFmtId="5" fontId="8" fillId="0" borderId="0" xfId="0" applyNumberFormat="1" applyFont="1" applyBorder="1"/>
    <xf numFmtId="166" fontId="8" fillId="0" borderId="0" xfId="0" applyNumberFormat="1" applyFont="1" applyBorder="1"/>
    <xf numFmtId="171" fontId="8" fillId="0" borderId="0" xfId="1" applyNumberFormat="1" applyFont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216" fontId="6" fillId="0" borderId="0" xfId="0" applyNumberFormat="1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25" fillId="6" borderId="1" xfId="1" applyNumberFormat="1" applyFont="1" applyFill="1" applyBorder="1"/>
    <xf numFmtId="166" fontId="25" fillId="6" borderId="1" xfId="0" applyNumberFormat="1" applyFont="1" applyFill="1" applyBorder="1"/>
    <xf numFmtId="166" fontId="3" fillId="6" borderId="1" xfId="1" applyNumberFormat="1" applyFont="1" applyFill="1" applyBorder="1"/>
    <xf numFmtId="166" fontId="25" fillId="6" borderId="0" xfId="1" applyNumberFormat="1" applyFont="1" applyFill="1" applyBorder="1"/>
    <xf numFmtId="7" fontId="25" fillId="6" borderId="0" xfId="0" applyNumberFormat="1" applyFont="1" applyFill="1"/>
    <xf numFmtId="166" fontId="9" fillId="0" borderId="1" xfId="1" applyNumberFormat="1" applyFont="1" applyFill="1" applyBorder="1"/>
    <xf numFmtId="166" fontId="22" fillId="6" borderId="0" xfId="1" applyNumberFormat="1" applyFont="1" applyFill="1"/>
    <xf numFmtId="0" fontId="0" fillId="0" borderId="0" xfId="0" quotePrefix="1"/>
    <xf numFmtId="5" fontId="33" fillId="6" borderId="0" xfId="0" applyNumberFormat="1" applyFont="1" applyFill="1"/>
    <xf numFmtId="5" fontId="22" fillId="6" borderId="0" xfId="1" applyNumberFormat="1" applyFont="1" applyFill="1"/>
    <xf numFmtId="5" fontId="9" fillId="6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5" fontId="25" fillId="0" borderId="1" xfId="0" applyNumberFormat="1" applyFont="1" applyFill="1" applyBorder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5" fontId="22" fillId="0" borderId="0" xfId="2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166" fontId="25" fillId="7" borderId="0" xfId="1" applyNumberFormat="1" applyFont="1" applyFill="1" applyBorder="1"/>
    <xf numFmtId="5" fontId="22" fillId="7" borderId="0" xfId="1" applyNumberFormat="1" applyFont="1" applyFill="1"/>
    <xf numFmtId="37" fontId="25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37" fontId="25" fillId="7" borderId="0" xfId="1" applyNumberFormat="1" applyFont="1" applyFill="1" applyBorder="1"/>
    <xf numFmtId="166" fontId="25" fillId="7" borderId="1" xfId="1" applyNumberFormat="1" applyFont="1" applyFill="1" applyBorder="1"/>
    <xf numFmtId="5" fontId="25" fillId="7" borderId="0" xfId="1" applyNumberFormat="1" applyFont="1" applyFill="1"/>
    <xf numFmtId="166" fontId="22" fillId="7" borderId="0" xfId="1" applyNumberFormat="1" applyFont="1" applyFill="1"/>
    <xf numFmtId="7" fontId="27" fillId="7" borderId="0" xfId="1" applyNumberFormat="1" applyFont="1" applyFill="1"/>
    <xf numFmtId="166" fontId="27" fillId="7" borderId="0" xfId="1" applyNumberFormat="1" applyFont="1" applyFill="1"/>
    <xf numFmtId="5" fontId="9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186" fontId="3" fillId="0" borderId="0" xfId="1" applyNumberFormat="1" applyFont="1"/>
    <xf numFmtId="7" fontId="35" fillId="7" borderId="1" xfId="1" applyNumberFormat="1" applyFont="1" applyFill="1" applyBorder="1"/>
    <xf numFmtId="7" fontId="25" fillId="7" borderId="1" xfId="0" applyNumberFormat="1" applyFont="1" applyFill="1" applyBorder="1"/>
    <xf numFmtId="5" fontId="33" fillId="7" borderId="1" xfId="0" applyNumberFormat="1" applyFont="1" applyFill="1" applyBorder="1"/>
    <xf numFmtId="5" fontId="25" fillId="7" borderId="1" xfId="0" applyNumberFormat="1" applyFont="1" applyFill="1" applyBorder="1"/>
    <xf numFmtId="7" fontId="3" fillId="7" borderId="0" xfId="0" applyNumberFormat="1" applyFont="1" applyFill="1"/>
    <xf numFmtId="7" fontId="25" fillId="7" borderId="0" xfId="0" applyNumberFormat="1" applyFont="1" applyFill="1"/>
    <xf numFmtId="5" fontId="3" fillId="7" borderId="0" xfId="1" applyNumberFormat="1" applyFont="1" applyFill="1"/>
    <xf numFmtId="5" fontId="25" fillId="7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7" borderId="0" xfId="0" applyNumberFormat="1" applyFont="1" applyFill="1"/>
    <xf numFmtId="5" fontId="25" fillId="7" borderId="0" xfId="0" applyNumberFormat="1" applyFont="1" applyFill="1" applyBorder="1"/>
    <xf numFmtId="7" fontId="9" fillId="0" borderId="0" xfId="1" quotePrefix="1" applyNumberFormat="1" applyFont="1"/>
    <xf numFmtId="5" fontId="25" fillId="7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7" borderId="0" xfId="1" applyNumberFormat="1" applyFont="1" applyFill="1"/>
    <xf numFmtId="5" fontId="22" fillId="0" borderId="1" xfId="0" applyNumberFormat="1" applyFont="1" applyBorder="1"/>
    <xf numFmtId="166" fontId="3" fillId="7" borderId="0" xfId="1" applyNumberFormat="1" applyFont="1" applyFill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3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1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1.98</v>
          </cell>
          <cell r="M39">
            <v>2.04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2.04</v>
          </cell>
          <cell r="K39">
            <v>1.99</v>
          </cell>
          <cell r="M39">
            <v>2.02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 refreshError="1"/>
      <sheetData sheetId="1" refreshError="1"/>
      <sheetData sheetId="2" refreshError="1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3" workbookViewId="0">
      <selection activeCell="B85" sqref="B85"/>
    </sheetView>
  </sheetViews>
  <sheetFormatPr defaultRowHeight="13.2" outlineLevelRow="2" x14ac:dyDescent="0.25"/>
  <cols>
    <col min="1" max="1" width="18.88671875" style="292" customWidth="1"/>
    <col min="2" max="2" width="11.109375" style="250" bestFit="1" customWidth="1"/>
    <col min="3" max="3" width="10.5546875" style="293" customWidth="1"/>
    <col min="4" max="4" width="11" bestFit="1" customWidth="1"/>
    <col min="5" max="5" width="13.33203125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54"/>
    </row>
    <row r="2" spans="1:32" ht="12.9" customHeight="1" x14ac:dyDescent="0.25">
      <c r="A2" s="34" t="s">
        <v>142</v>
      </c>
      <c r="D2" s="7"/>
      <c r="I2" s="398" t="s">
        <v>79</v>
      </c>
      <c r="J2" s="401"/>
      <c r="K2" s="32"/>
    </row>
    <row r="3" spans="1:32" ht="12.9" customHeight="1" x14ac:dyDescent="0.25">
      <c r="D3" s="7"/>
      <c r="I3" s="399" t="s">
        <v>30</v>
      </c>
      <c r="J3" s="402">
        <f>+'[2]1001'!$K$39</f>
        <v>1.99</v>
      </c>
      <c r="K3" s="419">
        <f ca="1">NOW()</f>
        <v>37238.475770486111</v>
      </c>
    </row>
    <row r="4" spans="1:32" ht="12.9" customHeight="1" x14ac:dyDescent="0.25">
      <c r="A4" s="34" t="s">
        <v>148</v>
      </c>
      <c r="C4" s="34" t="s">
        <v>5</v>
      </c>
      <c r="D4" s="7"/>
      <c r="I4" s="400" t="s">
        <v>31</v>
      </c>
      <c r="J4" s="402">
        <f>+'[2]1001'!$M$39</f>
        <v>2.02</v>
      </c>
      <c r="K4" s="32"/>
    </row>
    <row r="5" spans="1:32" ht="12.9" customHeight="1" x14ac:dyDescent="0.25">
      <c r="D5" s="7"/>
      <c r="I5" s="399" t="s">
        <v>118</v>
      </c>
      <c r="J5" s="402">
        <f>+'[2]1001'!$E$39</f>
        <v>2.04</v>
      </c>
      <c r="K5" s="32"/>
    </row>
    <row r="6" spans="1:32" ht="6.9" customHeight="1" x14ac:dyDescent="0.25"/>
    <row r="7" spans="1:32" ht="12.9" customHeight="1" x14ac:dyDescent="0.25">
      <c r="A7" s="417" t="s">
        <v>167</v>
      </c>
      <c r="B7" s="418"/>
      <c r="AD7" s="32"/>
      <c r="AE7" s="32"/>
      <c r="AF7" s="32"/>
    </row>
    <row r="8" spans="1:32" ht="15.9" customHeight="1" outlineLevel="2" x14ac:dyDescent="0.25">
      <c r="A8" s="32"/>
      <c r="B8" s="459" t="s">
        <v>201</v>
      </c>
      <c r="C8" s="415" t="s">
        <v>0</v>
      </c>
      <c r="D8" s="12" t="s">
        <v>200</v>
      </c>
      <c r="E8" s="12" t="s">
        <v>198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81" t="s">
        <v>90</v>
      </c>
      <c r="B9" s="407" t="s">
        <v>202</v>
      </c>
      <c r="C9" s="416" t="s">
        <v>195</v>
      </c>
      <c r="D9" s="444" t="s">
        <v>199</v>
      </c>
      <c r="E9" s="39" t="s">
        <v>197</v>
      </c>
      <c r="F9" s="39" t="s">
        <v>149</v>
      </c>
      <c r="G9" s="405" t="s">
        <v>154</v>
      </c>
      <c r="H9" s="382" t="s">
        <v>102</v>
      </c>
      <c r="I9" s="381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" customHeight="1" outlineLevel="2" x14ac:dyDescent="0.25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81" t="s">
        <v>159</v>
      </c>
    </row>
    <row r="12" spans="1:32" ht="13.5" customHeight="1" outlineLevel="1" x14ac:dyDescent="0.25">
      <c r="A12" s="206" t="s">
        <v>129</v>
      </c>
      <c r="B12" s="359">
        <f>+Calpine!D41</f>
        <v>93714.12</v>
      </c>
      <c r="C12" s="384">
        <f>+B12/$J$4</f>
        <v>46393.128712871287</v>
      </c>
      <c r="D12" s="14">
        <f>+Calpine!D47</f>
        <v>137363</v>
      </c>
      <c r="E12" s="70">
        <f>+C12-D12</f>
        <v>-90969.871287128713</v>
      </c>
      <c r="F12" s="379">
        <f>+Calpine!A41</f>
        <v>37236</v>
      </c>
      <c r="G12" s="205"/>
      <c r="H12" s="206" t="s">
        <v>100</v>
      </c>
      <c r="I12" s="365"/>
      <c r="J12" s="70"/>
      <c r="K12" s="32"/>
    </row>
    <row r="13" spans="1:32" ht="13.5" customHeight="1" outlineLevel="2" x14ac:dyDescent="0.25">
      <c r="A13" s="32" t="s">
        <v>141</v>
      </c>
      <c r="B13" s="359">
        <f>+'Citizens-Griffith'!D41</f>
        <v>66541.960000000006</v>
      </c>
      <c r="C13" s="383">
        <f>+B13/$J$4</f>
        <v>32941.564356435643</v>
      </c>
      <c r="D13" s="14">
        <f>+'Citizens-Griffith'!D48</f>
        <v>36384</v>
      </c>
      <c r="E13" s="70">
        <f>+C13-D13</f>
        <v>-3442.4356435643567</v>
      </c>
      <c r="F13" s="379">
        <f>+'Citizens-Griffith'!A41</f>
        <v>37235</v>
      </c>
      <c r="G13" s="205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5">
      <c r="A14" s="32" t="s">
        <v>135</v>
      </c>
      <c r="B14" s="359">
        <f>+'NS Steel'!D41</f>
        <v>-346024.64</v>
      </c>
      <c r="C14" s="383">
        <f>+B14/$J$4</f>
        <v>-171299.32673267327</v>
      </c>
      <c r="D14" s="14">
        <f>+'NS Steel'!D50</f>
        <v>-40308</v>
      </c>
      <c r="E14" s="70">
        <f>+C14-D14</f>
        <v>-130991.32673267327</v>
      </c>
      <c r="F14" s="380">
        <f>+'NS Steel'!A41</f>
        <v>37236</v>
      </c>
      <c r="G14" s="205" t="s">
        <v>157</v>
      </c>
      <c r="H14" s="32" t="s">
        <v>101</v>
      </c>
      <c r="I14" s="32" t="s">
        <v>184</v>
      </c>
      <c r="J14" s="32"/>
      <c r="K14" s="32"/>
    </row>
    <row r="15" spans="1:32" ht="13.5" customHeight="1" outlineLevel="1" x14ac:dyDescent="0.25">
      <c r="A15" s="206" t="s">
        <v>137</v>
      </c>
      <c r="B15" s="362">
        <f>+Citizens!D18</f>
        <v>-521519.44</v>
      </c>
      <c r="C15" s="385">
        <f>+B15/$J$4</f>
        <v>-258177.94059405942</v>
      </c>
      <c r="D15" s="363">
        <f>+Citizens!D24</f>
        <v>-30171</v>
      </c>
      <c r="E15" s="72">
        <f>+C15-D15</f>
        <v>-228006.94059405942</v>
      </c>
      <c r="F15" s="379">
        <f>+Citizens!A18</f>
        <v>37235</v>
      </c>
      <c r="G15" s="205"/>
      <c r="H15" s="206" t="s">
        <v>100</v>
      </c>
      <c r="I15" s="436" t="s">
        <v>183</v>
      </c>
      <c r="J15" s="32"/>
      <c r="K15" s="32"/>
      <c r="T15" s="264"/>
    </row>
    <row r="16" spans="1:32" ht="15.9" customHeight="1" outlineLevel="2" x14ac:dyDescent="0.25">
      <c r="A16" s="153" t="s">
        <v>160</v>
      </c>
      <c r="B16" s="403">
        <f>SUBTOTAL(9,B12:B15)</f>
        <v>-707288</v>
      </c>
      <c r="C16" s="410">
        <f>SUBTOTAL(9,C12:C15)</f>
        <v>-350142.57425742573</v>
      </c>
      <c r="D16" s="411">
        <f>SUBTOTAL(9,D12:D15)</f>
        <v>103268</v>
      </c>
      <c r="E16" s="412">
        <f>SUBTOTAL(9,E12:E15)</f>
        <v>-453410.57425742573</v>
      </c>
      <c r="F16" s="379"/>
      <c r="G16" s="205"/>
      <c r="H16" s="206"/>
      <c r="I16" s="365"/>
      <c r="J16" s="32"/>
      <c r="K16" s="32"/>
      <c r="T16" s="264"/>
    </row>
    <row r="17" spans="1:20" ht="9.9" customHeight="1" outlineLevel="2" x14ac:dyDescent="0.25">
      <c r="G17" s="7"/>
    </row>
    <row r="18" spans="1:20" ht="15.9" customHeight="1" outlineLevel="2" x14ac:dyDescent="0.25">
      <c r="A18" s="414" t="s">
        <v>58</v>
      </c>
      <c r="G18" s="7"/>
    </row>
    <row r="19" spans="1:20" ht="13.5" customHeight="1" outlineLevel="2" x14ac:dyDescent="0.25">
      <c r="A19" s="32" t="s">
        <v>72</v>
      </c>
      <c r="B19" s="360">
        <f>+transcol!$D$43</f>
        <v>-1043.8900000000012</v>
      </c>
      <c r="C19" s="383">
        <f>+B19/$J$4</f>
        <v>-516.77722772277286</v>
      </c>
      <c r="D19" s="14">
        <f>+transcol!D50</f>
        <v>-56448</v>
      </c>
      <c r="E19" s="70">
        <f>+C19-D19</f>
        <v>55931.22277227723</v>
      </c>
      <c r="F19" s="380">
        <f>+transcol!A43</f>
        <v>37236</v>
      </c>
      <c r="G19" s="205" t="s">
        <v>156</v>
      </c>
      <c r="H19" s="32" t="s">
        <v>116</v>
      </c>
      <c r="I19" s="32"/>
      <c r="J19" s="32"/>
      <c r="K19" s="32"/>
      <c r="T19" s="264"/>
    </row>
    <row r="20" spans="1:20" ht="13.5" customHeight="1" outlineLevel="2" x14ac:dyDescent="0.25">
      <c r="A20" s="206" t="s">
        <v>96</v>
      </c>
      <c r="B20" s="362">
        <f>+burlington!D42</f>
        <v>5062.93</v>
      </c>
      <c r="C20" s="387">
        <f>+B20/$J$3</f>
        <v>2544.1859296482412</v>
      </c>
      <c r="D20" s="363">
        <f>+burlington!D49</f>
        <v>3138</v>
      </c>
      <c r="E20" s="72">
        <f>+C20-D20</f>
        <v>-593.8140703517588</v>
      </c>
      <c r="F20" s="379">
        <f>+burlington!A42</f>
        <v>37235</v>
      </c>
      <c r="G20" s="205" t="s">
        <v>157</v>
      </c>
      <c r="H20" s="32" t="s">
        <v>114</v>
      </c>
      <c r="I20" s="32" t="s">
        <v>146</v>
      </c>
      <c r="J20" s="32"/>
      <c r="K20" s="32"/>
    </row>
    <row r="21" spans="1:20" ht="15.9" customHeight="1" outlineLevel="2" x14ac:dyDescent="0.25">
      <c r="A21" s="153" t="s">
        <v>162</v>
      </c>
      <c r="B21" s="403">
        <f>SUBTOTAL(9,B19:B20)</f>
        <v>4019.0399999999991</v>
      </c>
      <c r="C21" s="404">
        <f>SUBTOTAL(9,C19:C20)</f>
        <v>2027.4087019254684</v>
      </c>
      <c r="D21" s="411">
        <f>SUBTOTAL(9,D19:D20)</f>
        <v>-53310</v>
      </c>
      <c r="E21" s="412">
        <f>SUBTOTAL(9,E19:E20)</f>
        <v>55337.408701925473</v>
      </c>
      <c r="F21" s="379"/>
      <c r="G21" s="32"/>
      <c r="H21" s="32"/>
      <c r="I21" s="32"/>
      <c r="J21" s="32"/>
      <c r="K21" s="32"/>
    </row>
    <row r="22" spans="1:20" ht="9.9" customHeight="1" outlineLevel="2" x14ac:dyDescent="0.25"/>
    <row r="23" spans="1:20" ht="15.9" customHeight="1" outlineLevel="2" x14ac:dyDescent="0.25">
      <c r="A23" s="381" t="s">
        <v>163</v>
      </c>
      <c r="B23" s="440"/>
      <c r="C23" s="441"/>
      <c r="D23" s="442"/>
      <c r="E23" s="442"/>
      <c r="F23" s="442"/>
      <c r="G23" s="443"/>
      <c r="H23" s="442"/>
      <c r="I23" s="442"/>
    </row>
    <row r="24" spans="1:20" ht="15.9" customHeight="1" outlineLevel="2" x14ac:dyDescent="0.25">
      <c r="A24" s="206" t="s">
        <v>88</v>
      </c>
      <c r="B24" s="359">
        <f>+NNG!$D$24</f>
        <v>701953.12000000011</v>
      </c>
      <c r="C24" s="383">
        <f t="shared" ref="C24:C39" si="0">+B24/$J$4</f>
        <v>347501.5445544555</v>
      </c>
      <c r="D24" s="14">
        <f>+NNG!D34</f>
        <v>114493</v>
      </c>
      <c r="E24" s="70">
        <f t="shared" ref="E24:E41" si="1">+C24-D24</f>
        <v>233008.5445544555</v>
      </c>
      <c r="F24" s="379">
        <f>+NNG!A24</f>
        <v>37236</v>
      </c>
      <c r="G24" s="406" t="s">
        <v>155</v>
      </c>
      <c r="H24" s="206" t="s">
        <v>101</v>
      </c>
      <c r="I24" s="32"/>
      <c r="J24" s="32"/>
      <c r="K24" s="32"/>
    </row>
    <row r="25" spans="1:20" ht="13.5" customHeight="1" outlineLevel="2" x14ac:dyDescent="0.25">
      <c r="A25" s="32" t="s">
        <v>81</v>
      </c>
      <c r="B25" s="359">
        <f>+Conoco!$F$41</f>
        <v>356383.29</v>
      </c>
      <c r="C25" s="383">
        <f t="shared" si="0"/>
        <v>176427.37128712871</v>
      </c>
      <c r="D25" s="14">
        <f>+Conoco!D48</f>
        <v>-6013</v>
      </c>
      <c r="E25" s="70">
        <f t="shared" si="1"/>
        <v>182440.37128712871</v>
      </c>
      <c r="F25" s="379">
        <f>+Conoco!A41</f>
        <v>37236</v>
      </c>
      <c r="G25" s="205" t="s">
        <v>157</v>
      </c>
      <c r="H25" s="32" t="s">
        <v>114</v>
      </c>
      <c r="I25" s="32" t="s">
        <v>179</v>
      </c>
      <c r="J25" s="32"/>
      <c r="K25" s="32"/>
    </row>
    <row r="26" spans="1:20" ht="13.5" customHeight="1" outlineLevel="2" x14ac:dyDescent="0.25">
      <c r="A26" s="32" t="s">
        <v>3</v>
      </c>
      <c r="B26" s="359">
        <f>+'Amoco Abo'!$F$43</f>
        <v>355094.32</v>
      </c>
      <c r="C26" s="383">
        <f t="shared" si="0"/>
        <v>175789.26732673266</v>
      </c>
      <c r="D26" s="14">
        <f>+'Amoco Abo'!D49</f>
        <v>-279071</v>
      </c>
      <c r="E26" s="70">
        <f t="shared" si="1"/>
        <v>454860.26732673263</v>
      </c>
      <c r="F26" s="380">
        <f>+'Amoco Abo'!A43</f>
        <v>37236</v>
      </c>
      <c r="G26" s="205" t="s">
        <v>156</v>
      </c>
      <c r="H26" s="32" t="s">
        <v>116</v>
      </c>
      <c r="I26" s="32" t="s">
        <v>180</v>
      </c>
      <c r="J26" s="32"/>
      <c r="K26" s="32"/>
    </row>
    <row r="27" spans="1:20" ht="13.5" customHeight="1" outlineLevel="2" x14ac:dyDescent="0.25">
      <c r="A27" s="32" t="s">
        <v>108</v>
      </c>
      <c r="B27" s="359">
        <f>+KN_Westar!F41</f>
        <v>385282.96</v>
      </c>
      <c r="C27" s="383">
        <f t="shared" si="0"/>
        <v>190734.1386138614</v>
      </c>
      <c r="D27" s="14">
        <f>+KN_Westar!D48</f>
        <v>-9624</v>
      </c>
      <c r="E27" s="70">
        <f t="shared" si="1"/>
        <v>200358.1386138614</v>
      </c>
      <c r="F27" s="380">
        <f>+KN_Westar!A41</f>
        <v>37225</v>
      </c>
      <c r="G27" s="205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5">
      <c r="A28" s="32" t="s">
        <v>128</v>
      </c>
      <c r="B28" s="541">
        <f>+DEFS!F53</f>
        <v>20108.029999999329</v>
      </c>
      <c r="C28" s="384">
        <f t="shared" si="0"/>
        <v>9954.4702970293711</v>
      </c>
      <c r="D28" s="14">
        <f>+DEFS!M53</f>
        <v>336995</v>
      </c>
      <c r="E28" s="70">
        <f t="shared" si="1"/>
        <v>-327040.52970297064</v>
      </c>
      <c r="F28" s="380">
        <f>+DEFS!A40</f>
        <v>37235</v>
      </c>
      <c r="G28" s="205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5">
      <c r="A29" s="32" t="s">
        <v>2</v>
      </c>
      <c r="B29" s="359">
        <f>+mewborne!$J$43</f>
        <v>402313.61</v>
      </c>
      <c r="C29" s="383">
        <f t="shared" si="0"/>
        <v>199165.15346534652</v>
      </c>
      <c r="D29" s="14">
        <f>+mewborne!D49</f>
        <v>163873</v>
      </c>
      <c r="E29" s="70">
        <f t="shared" si="1"/>
        <v>35292.153465346521</v>
      </c>
      <c r="F29" s="380">
        <f>+mewborne!A43</f>
        <v>37236</v>
      </c>
      <c r="G29" s="205" t="s">
        <v>157</v>
      </c>
      <c r="H29" s="32" t="s">
        <v>100</v>
      </c>
      <c r="I29" s="32"/>
      <c r="J29" s="32"/>
      <c r="K29" s="32"/>
    </row>
    <row r="30" spans="1:20" ht="13.5" customHeight="1" x14ac:dyDescent="0.25">
      <c r="A30" s="32" t="s">
        <v>150</v>
      </c>
      <c r="B30" s="359">
        <f>+PGETX!$H$39</f>
        <v>-106217.28</v>
      </c>
      <c r="C30" s="383">
        <f t="shared" si="0"/>
        <v>-52582.811881188121</v>
      </c>
      <c r="D30" s="14">
        <f>+PGETX!E48</f>
        <v>123250</v>
      </c>
      <c r="E30" s="70">
        <f t="shared" si="1"/>
        <v>-175832.81188118813</v>
      </c>
      <c r="F30" s="380">
        <f>+PGETX!E39</f>
        <v>37236</v>
      </c>
      <c r="G30" s="205" t="s">
        <v>155</v>
      </c>
      <c r="H30" s="32" t="s">
        <v>103</v>
      </c>
      <c r="I30" s="32" t="s">
        <v>182</v>
      </c>
      <c r="J30" s="32"/>
      <c r="K30" s="32"/>
    </row>
    <row r="31" spans="1:20" ht="14.1" customHeight="1" x14ac:dyDescent="0.25">
      <c r="A31" s="32" t="s">
        <v>83</v>
      </c>
      <c r="B31" s="359">
        <f>+PNM!$D$23</f>
        <v>562028.73</v>
      </c>
      <c r="C31" s="383">
        <f t="shared" si="0"/>
        <v>278232.04455445544</v>
      </c>
      <c r="D31" s="14">
        <f>+PNM!D30</f>
        <v>219158</v>
      </c>
      <c r="E31" s="70">
        <f t="shared" si="1"/>
        <v>59074.044554455439</v>
      </c>
      <c r="F31" s="380">
        <f>+PNM!A23</f>
        <v>37236</v>
      </c>
      <c r="G31" s="205" t="s">
        <v>156</v>
      </c>
      <c r="H31" s="32" t="s">
        <v>116</v>
      </c>
      <c r="I31" s="32"/>
      <c r="J31" s="32"/>
      <c r="K31" s="32"/>
    </row>
    <row r="32" spans="1:20" ht="14.1" customHeight="1" x14ac:dyDescent="0.25">
      <c r="A32" s="32" t="s">
        <v>104</v>
      </c>
      <c r="B32" s="359">
        <f>+EOG!J41</f>
        <v>-40950.44</v>
      </c>
      <c r="C32" s="383">
        <f t="shared" si="0"/>
        <v>-20272.495049504952</v>
      </c>
      <c r="D32" s="14">
        <f>+EOG!D48</f>
        <v>-145879</v>
      </c>
      <c r="E32" s="70">
        <f t="shared" si="1"/>
        <v>125606.50495049504</v>
      </c>
      <c r="F32" s="379">
        <f>+EOG!A41</f>
        <v>37235</v>
      </c>
      <c r="G32" s="205" t="s">
        <v>157</v>
      </c>
      <c r="H32" s="32" t="s">
        <v>103</v>
      </c>
      <c r="I32" s="32"/>
      <c r="J32" s="32"/>
      <c r="K32" s="32"/>
    </row>
    <row r="33" spans="1:12" ht="14.1" customHeight="1" x14ac:dyDescent="0.25">
      <c r="A33" s="32" t="s">
        <v>133</v>
      </c>
      <c r="B33" s="359">
        <f>+SidR!D41</f>
        <v>55578.31</v>
      </c>
      <c r="C33" s="383">
        <f>+B33/$J$5</f>
        <v>27244.269607843136</v>
      </c>
      <c r="D33" s="14">
        <f>+SidR!D48</f>
        <v>26762</v>
      </c>
      <c r="E33" s="70">
        <f t="shared" si="1"/>
        <v>482.26960784313633</v>
      </c>
      <c r="F33" s="380">
        <f>+SidR!A41</f>
        <v>37236</v>
      </c>
      <c r="G33" s="205" t="s">
        <v>155</v>
      </c>
      <c r="H33" s="32" t="s">
        <v>103</v>
      </c>
      <c r="I33" s="32"/>
      <c r="J33" s="32"/>
      <c r="K33" s="32"/>
    </row>
    <row r="34" spans="1:12" ht="14.1" customHeight="1" x14ac:dyDescent="0.25">
      <c r="A34" s="32" t="s">
        <v>220</v>
      </c>
      <c r="B34" s="359">
        <f>+Dominion!D41</f>
        <v>176714.27000000002</v>
      </c>
      <c r="C34" s="383">
        <f>+B34/$J$5</f>
        <v>86624.642156862756</v>
      </c>
      <c r="D34" s="14">
        <f>+Dominion!D48</f>
        <v>77664</v>
      </c>
      <c r="E34" s="70">
        <f t="shared" si="1"/>
        <v>8960.6421568627557</v>
      </c>
      <c r="F34" s="380">
        <f>+Dominion!A41</f>
        <v>37235</v>
      </c>
      <c r="G34" s="205"/>
      <c r="H34" s="32" t="s">
        <v>100</v>
      </c>
      <c r="I34" s="32"/>
      <c r="J34" s="32"/>
      <c r="K34" s="32"/>
    </row>
    <row r="35" spans="1:12" ht="14.1" customHeight="1" x14ac:dyDescent="0.25">
      <c r="A35" s="32" t="s">
        <v>217</v>
      </c>
      <c r="B35" s="359">
        <f>+WTGmktg!J43</f>
        <v>-45709.32</v>
      </c>
      <c r="C35" s="383">
        <f t="shared" si="0"/>
        <v>-22628.376237623761</v>
      </c>
      <c r="D35" s="14">
        <f>+WTGmktg!D50</f>
        <v>-8241</v>
      </c>
      <c r="E35" s="70">
        <f t="shared" si="1"/>
        <v>-14387.376237623761</v>
      </c>
      <c r="F35" s="380">
        <f>+WTGmktg!A43</f>
        <v>37233</v>
      </c>
      <c r="G35" s="205"/>
      <c r="H35" s="32" t="s">
        <v>116</v>
      </c>
      <c r="I35" s="32"/>
      <c r="J35" s="32"/>
      <c r="K35" s="32"/>
    </row>
    <row r="36" spans="1:12" ht="13.5" customHeight="1" x14ac:dyDescent="0.25">
      <c r="A36" s="32" t="s">
        <v>221</v>
      </c>
      <c r="B36" s="359">
        <f>+Devon!D41</f>
        <v>147908.97</v>
      </c>
      <c r="C36" s="383">
        <f>+B36/$J$5</f>
        <v>72504.397058823524</v>
      </c>
      <c r="D36" s="14">
        <f>+Devon!D48</f>
        <v>28001</v>
      </c>
      <c r="E36" s="70">
        <f t="shared" si="1"/>
        <v>44503.397058823524</v>
      </c>
      <c r="F36" s="380">
        <f>+Devon!A41</f>
        <v>37235</v>
      </c>
      <c r="G36" s="205"/>
      <c r="H36" s="32" t="s">
        <v>100</v>
      </c>
      <c r="I36" s="32"/>
      <c r="J36" s="32"/>
      <c r="K36" s="32"/>
    </row>
    <row r="37" spans="1:12" ht="13.5" customHeight="1" x14ac:dyDescent="0.25">
      <c r="A37" s="32" t="s">
        <v>230</v>
      </c>
      <c r="B37" s="359">
        <f>+crosstex!F41</f>
        <v>-120641.36</v>
      </c>
      <c r="C37" s="383">
        <f>+B37/$J$4</f>
        <v>-59723.445544554452</v>
      </c>
      <c r="D37" s="14">
        <f>+crosstex!D48</f>
        <v>-34884</v>
      </c>
      <c r="E37" s="70">
        <f t="shared" si="1"/>
        <v>-24839.445544554452</v>
      </c>
      <c r="F37" s="380">
        <f>+crosstex!A41</f>
        <v>37235</v>
      </c>
      <c r="G37" s="205"/>
      <c r="H37" s="32" t="s">
        <v>101</v>
      </c>
      <c r="I37" s="32"/>
      <c r="J37" s="32"/>
      <c r="K37" s="32"/>
    </row>
    <row r="38" spans="1:12" ht="13.5" customHeight="1" x14ac:dyDescent="0.25">
      <c r="A38" s="32" t="s">
        <v>231</v>
      </c>
      <c r="B38" s="359">
        <f>+Amarillo!P41</f>
        <v>112382.84</v>
      </c>
      <c r="C38" s="383">
        <f>+B38/$J$4</f>
        <v>55635.069306930694</v>
      </c>
      <c r="D38" s="14">
        <f>+Amarillo!D48</f>
        <v>47725</v>
      </c>
      <c r="E38" s="70">
        <f t="shared" si="1"/>
        <v>7910.0693069306944</v>
      </c>
      <c r="F38" s="380">
        <f>+Amarillo!A41</f>
        <v>37235</v>
      </c>
      <c r="G38" s="205"/>
      <c r="H38" s="32" t="s">
        <v>114</v>
      </c>
      <c r="I38" s="32"/>
      <c r="J38" s="32"/>
      <c r="K38" s="32"/>
    </row>
    <row r="39" spans="1:12" ht="13.5" customHeight="1" x14ac:dyDescent="0.25">
      <c r="A39" s="32" t="s">
        <v>110</v>
      </c>
      <c r="B39" s="359">
        <f>+Continental!F43</f>
        <v>30319.09</v>
      </c>
      <c r="C39" s="384">
        <f t="shared" si="0"/>
        <v>15009.450495049505</v>
      </c>
      <c r="D39" s="14">
        <f>+Continental!D50</f>
        <v>-935</v>
      </c>
      <c r="E39" s="70">
        <f t="shared" si="1"/>
        <v>15944.450495049505</v>
      </c>
      <c r="F39" s="380">
        <f>+Continental!A43</f>
        <v>37235</v>
      </c>
      <c r="G39" s="205" t="s">
        <v>157</v>
      </c>
      <c r="H39" s="32" t="s">
        <v>116</v>
      </c>
      <c r="I39" s="32"/>
      <c r="J39" s="32"/>
      <c r="K39" s="32"/>
    </row>
    <row r="40" spans="1:12" ht="13.5" customHeight="1" x14ac:dyDescent="0.25">
      <c r="A40" s="32" t="s">
        <v>131</v>
      </c>
      <c r="B40" s="359">
        <f>+EPFS!D41</f>
        <v>64780.91</v>
      </c>
      <c r="C40" s="384">
        <f>+B40/$J$5</f>
        <v>31755.348039215689</v>
      </c>
      <c r="D40" s="14">
        <f>+EPFS!D47</f>
        <v>46002</v>
      </c>
      <c r="E40" s="70">
        <f t="shared" si="1"/>
        <v>-14246.651960784311</v>
      </c>
      <c r="F40" s="379">
        <f>+EPFS!A41</f>
        <v>37235</v>
      </c>
      <c r="G40" s="205" t="s">
        <v>156</v>
      </c>
      <c r="H40" s="32" t="s">
        <v>103</v>
      </c>
      <c r="I40" s="32"/>
      <c r="J40" s="32"/>
      <c r="K40" s="32"/>
    </row>
    <row r="41" spans="1:12" ht="12.9" customHeight="1" x14ac:dyDescent="0.25">
      <c r="A41" s="206" t="s">
        <v>80</v>
      </c>
      <c r="B41" s="362">
        <f>+Agave!$D$24</f>
        <v>164444.78</v>
      </c>
      <c r="C41" s="385">
        <f>+B41/$J$4</f>
        <v>81408.30693069307</v>
      </c>
      <c r="D41" s="363">
        <f>+Agave!D31</f>
        <v>92425</v>
      </c>
      <c r="E41" s="72">
        <f t="shared" si="1"/>
        <v>-11016.69306930693</v>
      </c>
      <c r="F41" s="379">
        <f>+Agave!A24</f>
        <v>37236</v>
      </c>
      <c r="G41" s="205" t="s">
        <v>185</v>
      </c>
      <c r="H41" s="206" t="s">
        <v>103</v>
      </c>
      <c r="I41" s="32"/>
      <c r="J41" s="32"/>
      <c r="K41" s="32"/>
    </row>
    <row r="42" spans="1:12" ht="17.100000000000001" customHeight="1" x14ac:dyDescent="0.25">
      <c r="A42" s="153" t="s">
        <v>165</v>
      </c>
      <c r="B42" s="403">
        <f>SUBTOTAL(9,B24:B41)</f>
        <v>3221774.83</v>
      </c>
      <c r="C42" s="410">
        <f>SUBTOTAL(9,C24:C41)</f>
        <v>1592778.3449815568</v>
      </c>
      <c r="D42" s="411">
        <f>SUBTOTAL(9,D24:D41)</f>
        <v>791701</v>
      </c>
      <c r="E42" s="412">
        <f>SUBTOTAL(9,E24:E41)</f>
        <v>801077.34498155664</v>
      </c>
      <c r="F42" s="379"/>
      <c r="G42" s="366"/>
      <c r="H42" s="32"/>
      <c r="I42" s="206"/>
      <c r="J42" s="32"/>
      <c r="K42" s="32"/>
      <c r="L42" s="32"/>
    </row>
    <row r="43" spans="1:12" ht="12" customHeight="1" x14ac:dyDescent="0.25">
      <c r="A43" s="206"/>
      <c r="H43" s="32"/>
      <c r="I43" s="206"/>
      <c r="J43" s="32"/>
      <c r="K43" s="32"/>
      <c r="L43" s="32"/>
    </row>
    <row r="44" spans="1:12" ht="17.100000000000001" customHeight="1" x14ac:dyDescent="0.25">
      <c r="A44" s="153" t="s">
        <v>166</v>
      </c>
      <c r="B44" s="403">
        <f>SUBTOTAL(9,B12:B41)</f>
        <v>2518505.87</v>
      </c>
      <c r="C44" s="410">
        <f>SUBTOTAL(9,C12:C41)</f>
        <v>1244663.1794260568</v>
      </c>
      <c r="D44" s="411">
        <f>SUBTOTAL(9,D12:D41)</f>
        <v>841659</v>
      </c>
      <c r="E44" s="412">
        <f>SUBTOTAL(9,E12:E41)</f>
        <v>403004.17942605645</v>
      </c>
      <c r="F44" s="379"/>
      <c r="G44" s="206"/>
      <c r="H44" s="32"/>
      <c r="I44" s="206"/>
      <c r="J44" s="32"/>
      <c r="K44" s="32"/>
      <c r="L44" s="32"/>
    </row>
    <row r="45" spans="1:12" ht="12.9" customHeight="1" x14ac:dyDescent="0.25">
      <c r="A45" s="206"/>
      <c r="B45" s="359"/>
      <c r="C45" s="383"/>
      <c r="D45" s="383"/>
      <c r="E45" s="383"/>
      <c r="F45" s="366"/>
      <c r="G45" s="32"/>
      <c r="I45" s="32"/>
      <c r="J45" s="32"/>
      <c r="K45" s="32"/>
      <c r="L45" s="32"/>
    </row>
    <row r="46" spans="1:12" ht="14.1" customHeight="1" x14ac:dyDescent="0.25"/>
    <row r="47" spans="1:12" ht="12.9" customHeight="1" x14ac:dyDescent="0.25"/>
    <row r="48" spans="1:12" ht="13.5" customHeight="1" x14ac:dyDescent="0.25"/>
    <row r="49" spans="1:19" ht="13.5" customHeight="1" outlineLevel="2" x14ac:dyDescent="0.25">
      <c r="A49" s="34" t="s">
        <v>142</v>
      </c>
      <c r="D49" s="7"/>
      <c r="I49" s="398" t="s">
        <v>79</v>
      </c>
      <c r="J49" s="401"/>
      <c r="K49" s="32"/>
    </row>
    <row r="50" spans="1:19" ht="13.5" customHeight="1" outlineLevel="2" x14ac:dyDescent="0.25">
      <c r="D50" s="7"/>
      <c r="I50" s="399" t="s">
        <v>30</v>
      </c>
      <c r="J50" s="402">
        <f>+J3</f>
        <v>1.99</v>
      </c>
      <c r="K50" s="419">
        <f ca="1">NOW()</f>
        <v>37238.475770486111</v>
      </c>
    </row>
    <row r="51" spans="1:19" ht="13.5" customHeight="1" outlineLevel="2" x14ac:dyDescent="0.25">
      <c r="A51" s="34" t="s">
        <v>148</v>
      </c>
      <c r="C51" s="34" t="s">
        <v>5</v>
      </c>
      <c r="D51" s="7"/>
      <c r="I51" s="400" t="s">
        <v>31</v>
      </c>
      <c r="J51" s="402">
        <f>+J4</f>
        <v>2.02</v>
      </c>
      <c r="K51" s="32"/>
    </row>
    <row r="52" spans="1:19" ht="13.5" customHeight="1" outlineLevel="1" x14ac:dyDescent="0.25">
      <c r="D52" s="7"/>
      <c r="I52" s="399" t="s">
        <v>118</v>
      </c>
      <c r="J52" s="402">
        <f>+J5</f>
        <v>2.04</v>
      </c>
      <c r="K52" s="32"/>
    </row>
    <row r="53" spans="1:19" ht="13.5" customHeight="1" outlineLevel="2" x14ac:dyDescent="0.25"/>
    <row r="54" spans="1:19" ht="13.5" customHeight="1" outlineLevel="2" x14ac:dyDescent="0.25">
      <c r="A54" s="417" t="s">
        <v>168</v>
      </c>
      <c r="B54" s="418"/>
      <c r="E54" s="12" t="s">
        <v>205</v>
      </c>
    </row>
    <row r="55" spans="1:19" ht="13.5" customHeight="1" outlineLevel="2" x14ac:dyDescent="0.25">
      <c r="A55" s="32"/>
      <c r="B55" s="420" t="s">
        <v>196</v>
      </c>
      <c r="C55" s="420" t="s">
        <v>203</v>
      </c>
      <c r="D55" s="420" t="s">
        <v>200</v>
      </c>
      <c r="E55" s="12" t="s">
        <v>206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5">
      <c r="A56" s="381" t="s">
        <v>90</v>
      </c>
      <c r="B56" s="416" t="s">
        <v>0</v>
      </c>
      <c r="C56" s="393" t="s">
        <v>170</v>
      </c>
      <c r="D56" s="39" t="s">
        <v>204</v>
      </c>
      <c r="E56" s="39" t="s">
        <v>207</v>
      </c>
      <c r="F56" s="39" t="s">
        <v>149</v>
      </c>
      <c r="G56" s="405" t="s">
        <v>154</v>
      </c>
      <c r="H56" s="382" t="s">
        <v>102</v>
      </c>
      <c r="I56" s="381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5">
      <c r="B57" s="293"/>
      <c r="C57" s="250"/>
    </row>
    <row r="58" spans="1:19" ht="13.5" customHeight="1" outlineLevel="1" x14ac:dyDescent="0.25">
      <c r="A58" s="381" t="s">
        <v>159</v>
      </c>
      <c r="B58" s="293"/>
      <c r="C58" s="250"/>
    </row>
    <row r="59" spans="1:19" ht="13.5" customHeight="1" outlineLevel="2" x14ac:dyDescent="0.25">
      <c r="A59" s="32" t="s">
        <v>95</v>
      </c>
      <c r="B59" s="383">
        <f>+Mojave!D40</f>
        <v>180212</v>
      </c>
      <c r="C59" s="359">
        <f>+B59*$J$4</f>
        <v>364028.24</v>
      </c>
      <c r="D59" s="47">
        <f>+Mojave!D47</f>
        <v>184184.35</v>
      </c>
      <c r="E59" s="47">
        <f>+C59-D59</f>
        <v>179843.88999999998</v>
      </c>
      <c r="F59" s="380">
        <f>+Mojave!A40</f>
        <v>37235</v>
      </c>
      <c r="H59" s="32" t="s">
        <v>101</v>
      </c>
      <c r="I59" s="32" t="s">
        <v>173</v>
      </c>
      <c r="J59" s="32"/>
      <c r="K59" s="32"/>
    </row>
    <row r="60" spans="1:19" ht="15" customHeight="1" outlineLevel="2" x14ac:dyDescent="0.25">
      <c r="A60" s="32" t="s">
        <v>33</v>
      </c>
      <c r="B60" s="384">
        <f>+SoCal!F40</f>
        <v>157452</v>
      </c>
      <c r="C60" s="359">
        <f>+B60*$J$4</f>
        <v>318053.03999999998</v>
      </c>
      <c r="D60" s="47">
        <f>+SoCal!D47</f>
        <v>454153.07</v>
      </c>
      <c r="E60" s="47">
        <f>+C60-D60</f>
        <v>-136100.03000000003</v>
      </c>
      <c r="F60" s="380">
        <f>+SoCal!A40</f>
        <v>37236</v>
      </c>
      <c r="H60" s="32" t="s">
        <v>103</v>
      </c>
      <c r="I60" s="32"/>
      <c r="J60" s="32"/>
      <c r="K60" s="32"/>
    </row>
    <row r="61" spans="1:19" ht="15" customHeight="1" outlineLevel="2" x14ac:dyDescent="0.25">
      <c r="A61" s="32" t="s">
        <v>186</v>
      </c>
      <c r="B61" s="383">
        <f>+'El Paso'!C39</f>
        <v>64166</v>
      </c>
      <c r="C61" s="359">
        <f>+B61*$J$4</f>
        <v>129615.32</v>
      </c>
      <c r="D61" s="47">
        <f>+'El Paso'!C46</f>
        <v>-1583169.07</v>
      </c>
      <c r="E61" s="47">
        <f>+C61-D61</f>
        <v>1712784.3900000001</v>
      </c>
      <c r="F61" s="380">
        <f>+'El Paso'!A39</f>
        <v>37235</v>
      </c>
      <c r="G61" s="437"/>
      <c r="H61" s="32" t="s">
        <v>101</v>
      </c>
      <c r="I61" s="32" t="s">
        <v>177</v>
      </c>
      <c r="J61" s="32"/>
      <c r="K61" s="32"/>
    </row>
    <row r="62" spans="1:19" ht="15" customHeight="1" outlineLevel="1" x14ac:dyDescent="0.25">
      <c r="A62" s="32" t="s">
        <v>115</v>
      </c>
      <c r="B62" s="385">
        <f>+'PG&amp;E'!D40</f>
        <v>82027</v>
      </c>
      <c r="C62" s="362">
        <f>+B62*$J$4</f>
        <v>165694.54</v>
      </c>
      <c r="D62" s="362">
        <f>+'PG&amp;E'!D47</f>
        <v>62304.5</v>
      </c>
      <c r="E62" s="362">
        <f>+C62-D62</f>
        <v>103390.04000000001</v>
      </c>
      <c r="F62" s="380">
        <f>+'PG&amp;E'!A40</f>
        <v>37236</v>
      </c>
      <c r="H62" s="32" t="s">
        <v>103</v>
      </c>
      <c r="I62" s="32"/>
      <c r="J62" s="32"/>
      <c r="K62" s="32"/>
    </row>
    <row r="63" spans="1:19" ht="15" customHeight="1" x14ac:dyDescent="0.25">
      <c r="A63" s="2" t="s">
        <v>160</v>
      </c>
      <c r="B63" s="410">
        <f>SUBTOTAL(9,B59:B62)</f>
        <v>483857</v>
      </c>
      <c r="C63" s="403">
        <f>SUBTOTAL(9,C59:C62)</f>
        <v>977391.14000000013</v>
      </c>
      <c r="D63" s="403">
        <f>SUBTOTAL(9,D59:D62)</f>
        <v>-882527.15</v>
      </c>
      <c r="E63" s="403">
        <f>SUBTOTAL(9,E59:E62)</f>
        <v>1859918.29</v>
      </c>
      <c r="F63" s="380"/>
      <c r="G63" s="205"/>
      <c r="H63" s="32"/>
      <c r="I63" s="32"/>
      <c r="J63" s="32"/>
      <c r="K63" s="32"/>
    </row>
    <row r="64" spans="1:19" ht="12.9" customHeight="1" x14ac:dyDescent="0.25">
      <c r="B64" s="293"/>
      <c r="C64" s="250"/>
      <c r="G64" s="205"/>
    </row>
    <row r="65" spans="1:11" ht="15" customHeight="1" x14ac:dyDescent="0.25">
      <c r="A65" s="381" t="s">
        <v>58</v>
      </c>
      <c r="B65" s="293"/>
      <c r="C65" s="250"/>
      <c r="G65" s="205"/>
    </row>
    <row r="66" spans="1:11" x14ac:dyDescent="0.25">
      <c r="A66" s="206" t="s">
        <v>29</v>
      </c>
      <c r="B66" s="383">
        <f>+williams!J40</f>
        <v>116446</v>
      </c>
      <c r="C66" s="359">
        <f>+B66*$J$3</f>
        <v>231727.54</v>
      </c>
      <c r="D66" s="47">
        <f>+williams!D48</f>
        <v>980381.93</v>
      </c>
      <c r="E66" s="47">
        <f>+C66-D66</f>
        <v>-748654.39</v>
      </c>
      <c r="F66" s="379">
        <f>+williams!A40</f>
        <v>37236</v>
      </c>
      <c r="G66" s="205" t="s">
        <v>156</v>
      </c>
      <c r="H66" s="206" t="s">
        <v>147</v>
      </c>
      <c r="I66" s="32" t="s">
        <v>176</v>
      </c>
      <c r="J66" s="32"/>
      <c r="K66" s="32"/>
    </row>
    <row r="67" spans="1:11" x14ac:dyDescent="0.25">
      <c r="A67" s="32" t="s">
        <v>24</v>
      </c>
      <c r="B67" s="383">
        <f>+'Red C'!F43</f>
        <v>82545</v>
      </c>
      <c r="C67" s="360">
        <f>+B67*J3</f>
        <v>164264.54999999999</v>
      </c>
      <c r="D67" s="202">
        <f>+'Red C'!D52</f>
        <v>553581.55000000005</v>
      </c>
      <c r="E67" s="47">
        <f>+C67-D67</f>
        <v>-389317.00000000006</v>
      </c>
      <c r="F67" s="379">
        <f>+'Red C'!B43</f>
        <v>37236</v>
      </c>
      <c r="G67" s="205" t="s">
        <v>156</v>
      </c>
      <c r="H67" s="32" t="s">
        <v>116</v>
      </c>
      <c r="I67" s="32" t="s">
        <v>174</v>
      </c>
      <c r="J67" s="32"/>
      <c r="K67" s="32"/>
    </row>
    <row r="68" spans="1:11" x14ac:dyDescent="0.25">
      <c r="A68" s="32" t="s">
        <v>6</v>
      </c>
      <c r="B68" s="383">
        <f>+Amoco!D40</f>
        <v>-60977</v>
      </c>
      <c r="C68" s="359">
        <f>+B68*$J$3</f>
        <v>-121344.23</v>
      </c>
      <c r="D68" s="47">
        <f>+Amoco!D47</f>
        <v>207104.28999999998</v>
      </c>
      <c r="E68" s="47">
        <f>+C68-D68</f>
        <v>-328448.51999999996</v>
      </c>
      <c r="F68" s="380">
        <f>+Amoco!A40</f>
        <v>37236</v>
      </c>
      <c r="G68" s="205" t="s">
        <v>156</v>
      </c>
      <c r="H68" s="32" t="s">
        <v>116</v>
      </c>
      <c r="I68" s="32" t="s">
        <v>175</v>
      </c>
      <c r="J68" s="32"/>
      <c r="K68" s="32"/>
    </row>
    <row r="69" spans="1:11" x14ac:dyDescent="0.25">
      <c r="A69" s="32" t="s">
        <v>187</v>
      </c>
      <c r="B69" s="383">
        <f>+'El Paso'!E39</f>
        <v>-30636</v>
      </c>
      <c r="C69" s="359">
        <f>+B69*$J$3</f>
        <v>-60965.64</v>
      </c>
      <c r="D69" s="47">
        <f>+'El Paso'!F46</f>
        <v>-657462.07000000007</v>
      </c>
      <c r="E69" s="47">
        <f>+C69-D69</f>
        <v>596496.43000000005</v>
      </c>
      <c r="F69" s="380">
        <f>+'El Paso'!A39</f>
        <v>37235</v>
      </c>
      <c r="G69" s="437"/>
      <c r="H69" s="32" t="s">
        <v>101</v>
      </c>
      <c r="I69" s="32" t="s">
        <v>177</v>
      </c>
      <c r="J69" s="32"/>
      <c r="K69" s="32"/>
    </row>
    <row r="70" spans="1:11" x14ac:dyDescent="0.25">
      <c r="A70" s="32" t="s">
        <v>1</v>
      </c>
      <c r="B70" s="385">
        <f>+NW!$F$41</f>
        <v>16015</v>
      </c>
      <c r="C70" s="362">
        <f>+B70*$J$3</f>
        <v>31869.85</v>
      </c>
      <c r="D70" s="362">
        <f>+NW!E49</f>
        <v>-420397.59</v>
      </c>
      <c r="E70" s="362">
        <f>+C70-D70</f>
        <v>452267.44</v>
      </c>
      <c r="F70" s="379">
        <f>+NW!B41</f>
        <v>37236</v>
      </c>
      <c r="G70" s="205" t="s">
        <v>156</v>
      </c>
      <c r="H70" s="32" t="s">
        <v>116</v>
      </c>
      <c r="I70" s="32"/>
      <c r="J70" s="32"/>
      <c r="K70" s="32"/>
    </row>
    <row r="71" spans="1:11" x14ac:dyDescent="0.25">
      <c r="A71" s="32" t="s">
        <v>161</v>
      </c>
      <c r="B71" s="410">
        <f>SUBTOTAL(9,B66:B70)</f>
        <v>123393</v>
      </c>
      <c r="C71" s="403">
        <f>SUBTOTAL(9,C66:C70)</f>
        <v>245552.06999999998</v>
      </c>
      <c r="D71" s="403">
        <f>SUBTOTAL(9,D66:D70)</f>
        <v>663208.10999999987</v>
      </c>
      <c r="E71" s="403">
        <f>SUBTOTAL(9,E66:E70)</f>
        <v>-417656.0400000001</v>
      </c>
      <c r="F71" s="379"/>
      <c r="G71" s="205"/>
      <c r="H71" s="32"/>
      <c r="I71" s="32"/>
      <c r="J71" s="32"/>
      <c r="K71" s="32"/>
    </row>
    <row r="72" spans="1:11" x14ac:dyDescent="0.25">
      <c r="B72" s="293"/>
      <c r="C72" s="250"/>
      <c r="G72" s="205"/>
    </row>
    <row r="73" spans="1:11" x14ac:dyDescent="0.25">
      <c r="A73" s="381" t="s">
        <v>163</v>
      </c>
      <c r="B73" s="293"/>
      <c r="C73" s="250"/>
      <c r="G73" s="205"/>
    </row>
    <row r="74" spans="1:11" x14ac:dyDescent="0.25">
      <c r="A74" s="32" t="s">
        <v>89</v>
      </c>
      <c r="B74" s="383">
        <f>+NGPL!F38</f>
        <v>118888</v>
      </c>
      <c r="C74" s="359">
        <f>+B74*$J$5</f>
        <v>242531.52000000002</v>
      </c>
      <c r="D74" s="47">
        <f>+NGPL!D45</f>
        <v>334956.76</v>
      </c>
      <c r="E74" s="47">
        <f>+C74-D74</f>
        <v>-92425.239999999991</v>
      </c>
      <c r="F74" s="380">
        <f>+NGPL!A38</f>
        <v>37236</v>
      </c>
      <c r="G74" s="205"/>
      <c r="H74" s="32" t="s">
        <v>116</v>
      </c>
      <c r="I74" s="32"/>
      <c r="J74" s="32"/>
      <c r="K74" s="32"/>
    </row>
    <row r="75" spans="1:11" x14ac:dyDescent="0.25">
      <c r="A75" s="32" t="s">
        <v>144</v>
      </c>
      <c r="B75" s="383">
        <f>+PEPL!D41</f>
        <v>-22665</v>
      </c>
      <c r="C75" s="360">
        <f>+B75*$J$4</f>
        <v>-45783.3</v>
      </c>
      <c r="D75" s="47">
        <f>+PEPL!D47</f>
        <v>140802.82</v>
      </c>
      <c r="E75" s="47">
        <f>+C75-D75</f>
        <v>-186586.12</v>
      </c>
      <c r="F75" s="380">
        <f>+PEPL!A41</f>
        <v>37236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5">
      <c r="A76" s="32" t="s">
        <v>111</v>
      </c>
      <c r="B76" s="208">
        <f>+CIG!D42</f>
        <v>16648</v>
      </c>
      <c r="C76" s="360">
        <f>+B76*$J$4</f>
        <v>33628.959999999999</v>
      </c>
      <c r="D76" s="202">
        <f>+CIG!D49</f>
        <v>383998.2</v>
      </c>
      <c r="E76" s="70">
        <f>+C76-D76</f>
        <v>-350369.24</v>
      </c>
      <c r="F76" s="380">
        <f>+CIG!A42</f>
        <v>37235</v>
      </c>
      <c r="G76" s="205" t="s">
        <v>157</v>
      </c>
      <c r="H76" s="32" t="s">
        <v>114</v>
      </c>
      <c r="I76" s="32" t="s">
        <v>188</v>
      </c>
      <c r="J76" s="32"/>
      <c r="K76" s="32"/>
    </row>
    <row r="77" spans="1:11" x14ac:dyDescent="0.25">
      <c r="A77" s="32" t="s">
        <v>7</v>
      </c>
      <c r="B77" s="384">
        <f>+Oasis!D40</f>
        <v>-7820</v>
      </c>
      <c r="C77" s="359">
        <f>+B77*$J$4</f>
        <v>-15796.4</v>
      </c>
      <c r="D77" s="47">
        <f>+Oasis!D47</f>
        <v>-371305.8</v>
      </c>
      <c r="E77" s="47">
        <f>+C77-D77</f>
        <v>355509.39999999997</v>
      </c>
      <c r="F77" s="380">
        <f>+Oasis!B40</f>
        <v>37236</v>
      </c>
      <c r="H77" s="32" t="s">
        <v>103</v>
      </c>
      <c r="I77" s="32"/>
      <c r="J77" s="32"/>
      <c r="K77" s="32"/>
    </row>
    <row r="78" spans="1:11" x14ac:dyDescent="0.25">
      <c r="A78" s="32" t="s">
        <v>32</v>
      </c>
      <c r="B78" s="387">
        <f>+Lonestar!F42</f>
        <v>802</v>
      </c>
      <c r="C78" s="362">
        <f>+B78*$J$4</f>
        <v>1620.04</v>
      </c>
      <c r="D78" s="362">
        <f>+Lonestar!D49</f>
        <v>-80816.92</v>
      </c>
      <c r="E78" s="362">
        <f>+C78-D78</f>
        <v>82436.959999999992</v>
      </c>
      <c r="F78" s="379">
        <f>+Lonestar!B42</f>
        <v>37235</v>
      </c>
      <c r="H78" s="32" t="s">
        <v>103</v>
      </c>
      <c r="I78" s="32"/>
      <c r="J78" s="32"/>
      <c r="K78" s="32"/>
    </row>
    <row r="79" spans="1:11" x14ac:dyDescent="0.25">
      <c r="A79" s="2" t="s">
        <v>164</v>
      </c>
      <c r="B79" s="404">
        <f>SUBTOTAL(9,B74:B78)</f>
        <v>105853</v>
      </c>
      <c r="C79" s="403">
        <f>SUBTOTAL(9,C74:C78)</f>
        <v>216200.82000000004</v>
      </c>
      <c r="D79" s="403">
        <f>SUBTOTAL(9,D74:D78)</f>
        <v>407635.06000000006</v>
      </c>
      <c r="E79" s="403">
        <f>SUBTOTAL(9,E74:E78)</f>
        <v>-191434.24000000002</v>
      </c>
      <c r="F79" s="379"/>
      <c r="H79" s="32"/>
      <c r="I79" s="32"/>
      <c r="J79" s="32"/>
      <c r="K79" s="32"/>
    </row>
    <row r="80" spans="1:11" x14ac:dyDescent="0.25">
      <c r="B80" s="293"/>
      <c r="C80" s="250"/>
    </row>
    <row r="81" spans="1:12" x14ac:dyDescent="0.25">
      <c r="A81" s="2" t="s">
        <v>169</v>
      </c>
      <c r="B81" s="404">
        <f>SUBTOTAL(9,B59:B78)</f>
        <v>713103</v>
      </c>
      <c r="C81" s="403">
        <f>SUBTOTAL(9,C59:C78)</f>
        <v>1439144.0300000005</v>
      </c>
      <c r="D81" s="403">
        <f>SUBTOTAL(9,D59:D78)</f>
        <v>188316.02000000002</v>
      </c>
      <c r="E81" s="403">
        <f>SUBTOTAL(9,E59:E78)</f>
        <v>1250828.01</v>
      </c>
      <c r="F81" s="379"/>
      <c r="H81" s="32"/>
      <c r="I81" s="32"/>
      <c r="J81" s="32"/>
      <c r="K81" s="32"/>
    </row>
    <row r="82" spans="1:12" x14ac:dyDescent="0.25">
      <c r="A82" s="32"/>
      <c r="B82" s="359"/>
      <c r="C82" s="384"/>
      <c r="D82" s="359"/>
      <c r="E82" s="359"/>
      <c r="F82" s="379"/>
      <c r="H82" s="32"/>
      <c r="I82" s="32"/>
      <c r="J82" s="32"/>
      <c r="K82" s="32"/>
    </row>
    <row r="83" spans="1:12" x14ac:dyDescent="0.25">
      <c r="A83" s="32"/>
      <c r="B83" s="362"/>
      <c r="C83" s="383"/>
      <c r="D83" s="300"/>
      <c r="E83" s="300"/>
      <c r="F83" s="379"/>
      <c r="G83" s="32"/>
      <c r="I83" s="32"/>
      <c r="J83" s="32"/>
      <c r="K83" s="32"/>
      <c r="L83" s="32"/>
    </row>
    <row r="84" spans="1:12" ht="13.8" thickBot="1" x14ac:dyDescent="0.3">
      <c r="A84" s="2" t="s">
        <v>171</v>
      </c>
      <c r="B84" s="413">
        <f>+C81+B44</f>
        <v>3957649.9000000004</v>
      </c>
      <c r="C84" s="208"/>
      <c r="D84" s="359"/>
      <c r="E84" s="359"/>
      <c r="F84" s="366"/>
      <c r="H84" s="32"/>
      <c r="I84" s="32"/>
      <c r="J84" s="32"/>
      <c r="K84" s="32"/>
    </row>
    <row r="85" spans="1:12" ht="13.8" thickTop="1" x14ac:dyDescent="0.25">
      <c r="A85" s="2" t="s">
        <v>172</v>
      </c>
      <c r="B85" s="14">
        <f>+B81+C44</f>
        <v>1957766.1794260568</v>
      </c>
      <c r="C85" s="386"/>
      <c r="D85" s="439"/>
      <c r="E85" s="300"/>
      <c r="F85" s="366"/>
      <c r="G85" s="32"/>
      <c r="H85" s="32"/>
      <c r="I85" s="32"/>
      <c r="J85" s="32"/>
    </row>
    <row r="86" spans="1:12" x14ac:dyDescent="0.25">
      <c r="A86" s="32"/>
      <c r="B86" s="47"/>
      <c r="C86" s="388"/>
      <c r="D86" s="300"/>
      <c r="E86" s="300"/>
      <c r="F86" s="206"/>
      <c r="G86" s="32"/>
      <c r="H86" s="32"/>
      <c r="I86" s="32"/>
      <c r="J86" s="32"/>
    </row>
    <row r="87" spans="1:12" x14ac:dyDescent="0.25">
      <c r="A87" s="32"/>
      <c r="B87" s="47"/>
      <c r="C87" s="69"/>
      <c r="E87" s="32"/>
      <c r="F87" s="32"/>
      <c r="G87" s="32"/>
      <c r="H87" s="32"/>
      <c r="I87" s="32"/>
    </row>
    <row r="88" spans="1:12" x14ac:dyDescent="0.25">
      <c r="A88" s="32"/>
      <c r="B88" s="47"/>
      <c r="C88" s="69"/>
      <c r="D88" s="32"/>
      <c r="E88" s="32"/>
      <c r="F88" s="32"/>
      <c r="G88" s="32"/>
      <c r="H88" s="32"/>
    </row>
    <row r="89" spans="1:12" x14ac:dyDescent="0.25">
      <c r="A89" s="32"/>
      <c r="B89" s="202"/>
      <c r="C89" s="301"/>
      <c r="D89" s="16"/>
      <c r="E89" s="32"/>
      <c r="F89" s="32"/>
      <c r="G89" s="32"/>
      <c r="H89" s="32"/>
    </row>
    <row r="95" spans="1:12" x14ac:dyDescent="0.25">
      <c r="A95" s="32"/>
      <c r="B95" s="202"/>
      <c r="C95" s="69"/>
      <c r="D95" s="70"/>
      <c r="E95" s="32"/>
      <c r="F95" s="32"/>
      <c r="G95" s="32"/>
      <c r="H95" s="32"/>
    </row>
    <row r="96" spans="1:12" x14ac:dyDescent="0.25">
      <c r="A96" s="32"/>
      <c r="B96" s="47"/>
      <c r="C96" s="14"/>
      <c r="D96" s="32"/>
      <c r="E96" s="32"/>
      <c r="F96" s="32"/>
      <c r="G96" s="32"/>
      <c r="H96" s="32"/>
    </row>
    <row r="97" spans="1:8" x14ac:dyDescent="0.25">
      <c r="A97" s="32"/>
      <c r="B97" s="47"/>
      <c r="C97" s="14"/>
      <c r="D97" s="32"/>
      <c r="E97" s="32"/>
      <c r="F97" s="32"/>
      <c r="G97" s="32"/>
      <c r="H97" s="32"/>
    </row>
    <row r="98" spans="1:8" x14ac:dyDescent="0.25">
      <c r="A98" s="32"/>
      <c r="B98" s="202"/>
      <c r="C98" s="14"/>
      <c r="D98" s="70"/>
      <c r="E98" s="32"/>
      <c r="F98" s="32"/>
      <c r="G98" s="32"/>
      <c r="H98" s="32"/>
    </row>
    <row r="99" spans="1:8" x14ac:dyDescent="0.25">
      <c r="A99" s="32"/>
      <c r="B99" s="202"/>
      <c r="C99" s="69"/>
      <c r="D99" s="70"/>
      <c r="E99" s="32"/>
      <c r="F99" s="32"/>
      <c r="G99" s="32"/>
      <c r="H99" s="32"/>
    </row>
    <row r="100" spans="1:8" x14ac:dyDescent="0.25">
      <c r="A100" s="32"/>
      <c r="B100" s="202"/>
      <c r="C100" s="69"/>
      <c r="D100" s="32"/>
      <c r="E100" s="32"/>
      <c r="F100" s="32"/>
      <c r="G100" s="32"/>
      <c r="H100" s="32"/>
    </row>
    <row r="101" spans="1:8" x14ac:dyDescent="0.25">
      <c r="A101" s="32"/>
      <c r="B101" s="202"/>
      <c r="C101" s="377"/>
      <c r="D101" s="32"/>
      <c r="E101" s="32"/>
      <c r="F101" s="32"/>
      <c r="G101" s="32"/>
      <c r="H101" s="32"/>
    </row>
    <row r="102" spans="1:8" x14ac:dyDescent="0.25">
      <c r="A102" s="32"/>
      <c r="B102" s="47"/>
      <c r="C102" s="69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5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5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  <row r="129" spans="1:8" x14ac:dyDescent="0.25">
      <c r="A129" s="32"/>
      <c r="B129" s="47"/>
      <c r="C129" s="69"/>
      <c r="D129" s="32"/>
      <c r="E129" s="32"/>
      <c r="F129" s="32"/>
      <c r="G129" s="32"/>
      <c r="H129" s="32"/>
    </row>
    <row r="130" spans="1:8" x14ac:dyDescent="0.25">
      <c r="A130" s="32"/>
      <c r="B130" s="47"/>
      <c r="C130" s="69"/>
      <c r="D130" s="32"/>
      <c r="E130" s="32"/>
      <c r="F130" s="32"/>
      <c r="G130" s="32"/>
      <c r="H130" s="32"/>
    </row>
    <row r="131" spans="1:8" x14ac:dyDescent="0.25">
      <c r="A131" s="32"/>
      <c r="B131" s="47"/>
      <c r="C131" s="69"/>
      <c r="D131" s="32"/>
      <c r="E131" s="32"/>
      <c r="F131" s="32"/>
      <c r="G131" s="32"/>
      <c r="H131" s="32"/>
    </row>
    <row r="132" spans="1:8" x14ac:dyDescent="0.25">
      <c r="A132" s="32"/>
      <c r="B132" s="47"/>
      <c r="C132" s="69"/>
      <c r="D132" s="32"/>
      <c r="E132" s="32"/>
      <c r="F132" s="32"/>
      <c r="G132" s="32"/>
      <c r="H132" s="32"/>
    </row>
    <row r="133" spans="1:8" x14ac:dyDescent="0.25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D41" sqref="D41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7"/>
      <c r="J6" s="276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1"/>
      <c r="J7" s="275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39"/>
      <c r="I8" s="271"/>
      <c r="J8" s="275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39"/>
      <c r="I9" s="271"/>
      <c r="J9" s="275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135466</v>
      </c>
      <c r="C10" s="11">
        <v>131970</v>
      </c>
      <c r="D10" s="11">
        <v>12685</v>
      </c>
      <c r="E10" s="11">
        <v>13351</v>
      </c>
      <c r="F10" s="11">
        <f t="shared" si="5"/>
        <v>-2830</v>
      </c>
      <c r="G10" s="143"/>
      <c r="H10" s="139"/>
      <c r="I10" s="271"/>
      <c r="J10" s="275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142004</v>
      </c>
      <c r="C11" s="11">
        <v>140968</v>
      </c>
      <c r="D11" s="11">
        <v>13527</v>
      </c>
      <c r="E11" s="11">
        <v>13349</v>
      </c>
      <c r="F11" s="11">
        <f t="shared" si="5"/>
        <v>-1214</v>
      </c>
      <c r="G11" s="143"/>
      <c r="H11" s="139"/>
      <c r="I11" s="278"/>
      <c r="J11" s="275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140637</v>
      </c>
      <c r="C12" s="11">
        <v>143286</v>
      </c>
      <c r="D12" s="11">
        <v>12744</v>
      </c>
      <c r="E12" s="11">
        <v>13033</v>
      </c>
      <c r="F12" s="11">
        <f t="shared" si="5"/>
        <v>2938</v>
      </c>
      <c r="G12" s="143"/>
      <c r="H12" s="139"/>
      <c r="I12" s="275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143787</v>
      </c>
      <c r="C13" s="11">
        <v>144422</v>
      </c>
      <c r="D13" s="11">
        <v>12893</v>
      </c>
      <c r="E13" s="11">
        <v>12532</v>
      </c>
      <c r="F13" s="11">
        <f t="shared" si="5"/>
        <v>274</v>
      </c>
      <c r="G13" s="143"/>
      <c r="H13" s="139"/>
      <c r="I13" s="275"/>
      <c r="J13" s="275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144661</v>
      </c>
      <c r="C14" s="11">
        <v>145311</v>
      </c>
      <c r="D14" s="11">
        <v>13371</v>
      </c>
      <c r="E14" s="11">
        <v>12532</v>
      </c>
      <c r="F14" s="11">
        <f t="shared" si="5"/>
        <v>-189</v>
      </c>
      <c r="G14" s="143"/>
      <c r="H14" s="139"/>
      <c r="I14" s="275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145757</v>
      </c>
      <c r="C15" s="11">
        <v>145315</v>
      </c>
      <c r="D15" s="11">
        <v>12071</v>
      </c>
      <c r="E15" s="11">
        <v>12532</v>
      </c>
      <c r="F15" s="11">
        <f t="shared" si="5"/>
        <v>19</v>
      </c>
      <c r="G15" s="143"/>
      <c r="H15" s="139"/>
      <c r="I15" s="275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145534</v>
      </c>
      <c r="C16" s="11">
        <v>145186</v>
      </c>
      <c r="D16" s="11">
        <v>12077</v>
      </c>
      <c r="E16" s="11">
        <v>12532</v>
      </c>
      <c r="F16" s="11">
        <f t="shared" si="5"/>
        <v>107</v>
      </c>
      <c r="G16" s="143"/>
      <c r="H16" s="139"/>
      <c r="I16" s="275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144926</v>
      </c>
      <c r="C17" s="11">
        <v>145079</v>
      </c>
      <c r="D17" s="11">
        <v>12925</v>
      </c>
      <c r="E17" s="11">
        <v>12532</v>
      </c>
      <c r="F17" s="11">
        <f t="shared" si="5"/>
        <v>-240</v>
      </c>
      <c r="G17" s="143"/>
      <c r="H17" s="139"/>
      <c r="I17" s="275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145896</v>
      </c>
      <c r="C18" s="11">
        <v>145311</v>
      </c>
      <c r="D18" s="11">
        <v>10379</v>
      </c>
      <c r="E18" s="11">
        <v>12532</v>
      </c>
      <c r="F18" s="11">
        <f t="shared" si="5"/>
        <v>1568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73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51</v>
      </c>
      <c r="B25" s="129"/>
      <c r="C25" s="11"/>
      <c r="D25" s="11"/>
      <c r="E25" s="11"/>
      <c r="F25" s="11">
        <f t="shared" si="5"/>
        <v>0</v>
      </c>
      <c r="G25" s="316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1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1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1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1560570</v>
      </c>
      <c r="C39" s="150">
        <f>SUM(C8:C38)</f>
        <v>1549259</v>
      </c>
      <c r="D39" s="150">
        <f>SUM(D8:D38)</f>
        <v>137514</v>
      </c>
      <c r="E39" s="150">
        <f>SUM(E8:E38)</f>
        <v>141570</v>
      </c>
      <c r="F39" s="11">
        <f t="shared" si="5"/>
        <v>-7255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37225</v>
      </c>
      <c r="C42" s="153"/>
      <c r="D42" s="153"/>
      <c r="E42" s="153"/>
      <c r="F42" s="508">
        <v>89800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37236</v>
      </c>
      <c r="C43" s="142"/>
      <c r="D43" s="142"/>
      <c r="E43" s="142"/>
      <c r="F43" s="150">
        <f>+F42+F39</f>
        <v>82545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09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1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158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37225</v>
      </c>
      <c r="B50" s="32"/>
      <c r="C50" s="32"/>
      <c r="D50" s="514">
        <v>568019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37236</v>
      </c>
      <c r="B51" s="32"/>
      <c r="C51" s="32"/>
      <c r="D51" s="390">
        <f>+F39*'by type_area'!J3</f>
        <v>-14437.45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553581.55000000005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9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9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9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9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5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1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31" workbookViewId="0">
      <selection activeCell="C36" sqref="C36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191</v>
      </c>
      <c r="C4" s="292"/>
      <c r="D4" s="292"/>
      <c r="E4" s="3"/>
      <c r="F4" s="1"/>
      <c r="I4" s="3"/>
      <c r="J4" s="1"/>
      <c r="M4" s="3"/>
      <c r="N4" s="1"/>
    </row>
    <row r="5" spans="1:16" x14ac:dyDescent="0.25">
      <c r="A5" s="355" t="s">
        <v>11</v>
      </c>
      <c r="B5" s="447" t="s">
        <v>20</v>
      </c>
      <c r="C5" s="447" t="s">
        <v>21</v>
      </c>
      <c r="D5" s="447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48">
        <v>1</v>
      </c>
      <c r="B6" s="428">
        <v>101751</v>
      </c>
      <c r="C6" s="428">
        <v>98243</v>
      </c>
      <c r="D6" s="317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48">
        <v>2</v>
      </c>
      <c r="B7" s="455">
        <v>102927</v>
      </c>
      <c r="C7" s="428">
        <v>104706</v>
      </c>
      <c r="D7" s="317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48">
        <v>3</v>
      </c>
      <c r="B8" s="455">
        <v>117477</v>
      </c>
      <c r="C8" s="428">
        <v>116286</v>
      </c>
      <c r="D8" s="317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48">
        <v>4</v>
      </c>
      <c r="B9" s="455">
        <v>119833</v>
      </c>
      <c r="C9" s="428">
        <v>117531</v>
      </c>
      <c r="D9" s="317">
        <f t="shared" si="0"/>
        <v>-2302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48">
        <v>5</v>
      </c>
      <c r="B10" s="455">
        <v>123072</v>
      </c>
      <c r="C10" s="428">
        <v>121673</v>
      </c>
      <c r="D10" s="317">
        <f t="shared" si="0"/>
        <v>-1399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48">
        <v>6</v>
      </c>
      <c r="B11" s="455">
        <v>115143</v>
      </c>
      <c r="C11" s="428">
        <v>114331</v>
      </c>
      <c r="D11" s="317">
        <f t="shared" si="0"/>
        <v>-812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48">
        <v>7</v>
      </c>
      <c r="B12" s="455">
        <v>104853</v>
      </c>
      <c r="C12" s="428">
        <v>105766</v>
      </c>
      <c r="D12" s="317">
        <f t="shared" si="0"/>
        <v>913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48">
        <v>8</v>
      </c>
      <c r="B13" s="428">
        <v>104302</v>
      </c>
      <c r="C13" s="428">
        <v>102762</v>
      </c>
      <c r="D13" s="317">
        <f t="shared" si="0"/>
        <v>-1540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48">
        <v>9</v>
      </c>
      <c r="B14" s="428">
        <v>103913</v>
      </c>
      <c r="C14" s="428">
        <v>102521</v>
      </c>
      <c r="D14" s="317">
        <f t="shared" si="0"/>
        <v>-1392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48">
        <v>10</v>
      </c>
      <c r="B15" s="428">
        <v>101722</v>
      </c>
      <c r="C15" s="428">
        <v>101279</v>
      </c>
      <c r="D15" s="317">
        <f t="shared" si="0"/>
        <v>-443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48">
        <v>11</v>
      </c>
      <c r="B16" s="428">
        <v>108378</v>
      </c>
      <c r="C16" s="428">
        <v>104512</v>
      </c>
      <c r="D16" s="317">
        <f t="shared" si="0"/>
        <v>-3866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48">
        <v>12</v>
      </c>
      <c r="B17" s="428"/>
      <c r="C17" s="428"/>
      <c r="D17" s="31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48">
        <v>13</v>
      </c>
      <c r="B18" s="428"/>
      <c r="C18" s="428"/>
      <c r="D18" s="31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48">
        <v>14</v>
      </c>
      <c r="B19" s="428"/>
      <c r="C19" s="428"/>
      <c r="D19" s="31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48">
        <v>15</v>
      </c>
      <c r="B20" s="428"/>
      <c r="C20" s="428"/>
      <c r="D20" s="31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48">
        <v>16</v>
      </c>
      <c r="B21" s="428"/>
      <c r="C21" s="428"/>
      <c r="D21" s="31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48">
        <v>17</v>
      </c>
      <c r="B22" s="455"/>
      <c r="C22" s="428"/>
      <c r="D22" s="31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48">
        <v>18</v>
      </c>
      <c r="B23" s="455"/>
      <c r="C23" s="428"/>
      <c r="D23" s="31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48">
        <v>19</v>
      </c>
      <c r="B24" s="455"/>
      <c r="C24" s="455"/>
      <c r="D24" s="546">
        <f t="shared" si="0"/>
        <v>0</v>
      </c>
      <c r="E24" s="265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48">
        <v>20</v>
      </c>
      <c r="B25" s="455"/>
      <c r="C25" s="455"/>
      <c r="D25" s="546">
        <f t="shared" si="0"/>
        <v>0</v>
      </c>
      <c r="E25" s="265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48">
        <v>21</v>
      </c>
      <c r="B26" s="455"/>
      <c r="C26" s="455"/>
      <c r="D26" s="546">
        <f t="shared" si="0"/>
        <v>0</v>
      </c>
      <c r="E26" s="265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48">
        <v>22</v>
      </c>
      <c r="B27" s="455"/>
      <c r="C27" s="455"/>
      <c r="D27" s="546">
        <f t="shared" si="0"/>
        <v>0</v>
      </c>
      <c r="E27" s="265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48">
        <v>23</v>
      </c>
      <c r="B28" s="455"/>
      <c r="C28" s="455"/>
      <c r="D28" s="546">
        <f t="shared" si="0"/>
        <v>0</v>
      </c>
      <c r="E28" s="265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48">
        <v>24</v>
      </c>
      <c r="B29" s="455"/>
      <c r="C29" s="455"/>
      <c r="D29" s="546">
        <f t="shared" si="0"/>
        <v>0</v>
      </c>
      <c r="E29" s="265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48">
        <v>25</v>
      </c>
      <c r="B30" s="455"/>
      <c r="C30" s="455"/>
      <c r="D30" s="546">
        <f t="shared" si="0"/>
        <v>0</v>
      </c>
      <c r="E30" s="265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48">
        <v>26</v>
      </c>
      <c r="B31" s="428"/>
      <c r="C31" s="428"/>
      <c r="D31" s="31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48">
        <v>27</v>
      </c>
      <c r="B32" s="428"/>
      <c r="C32" s="428"/>
      <c r="D32" s="31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48">
        <v>28</v>
      </c>
      <c r="B33" s="428"/>
      <c r="C33" s="428"/>
      <c r="D33" s="31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48">
        <v>29</v>
      </c>
      <c r="B34" s="428"/>
      <c r="C34" s="428"/>
      <c r="D34" s="31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48">
        <v>30</v>
      </c>
      <c r="B35" s="428"/>
      <c r="C35" s="428"/>
      <c r="D35" s="31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48">
        <v>31</v>
      </c>
      <c r="B36" s="428"/>
      <c r="C36" s="428"/>
      <c r="D36" s="31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48"/>
      <c r="B37" s="428">
        <f>SUM(B6:B36)</f>
        <v>1203371</v>
      </c>
      <c r="C37" s="428">
        <f>SUM(C6:C36)</f>
        <v>1189610</v>
      </c>
      <c r="D37" s="428">
        <f>SUM(D6:D36)</f>
        <v>-13761</v>
      </c>
      <c r="E37" s="10"/>
      <c r="F37" s="11"/>
      <c r="G37" s="11"/>
      <c r="H37" s="129"/>
      <c r="I37" s="265"/>
      <c r="J37" s="129"/>
      <c r="K37" s="129"/>
      <c r="L37" s="129"/>
      <c r="M37" s="10"/>
      <c r="N37" s="11"/>
      <c r="O37" s="11"/>
      <c r="P37" s="11"/>
    </row>
    <row r="38" spans="1:16" x14ac:dyDescent="0.25">
      <c r="A38" s="449"/>
      <c r="B38" s="292"/>
      <c r="C38" s="450"/>
      <c r="D38" s="292"/>
      <c r="E38" s="26"/>
      <c r="G38" s="14"/>
      <c r="H38" s="248"/>
      <c r="I38" s="266"/>
      <c r="J38" s="248"/>
      <c r="K38" s="267"/>
      <c r="L38" s="248"/>
      <c r="M38" s="26"/>
      <c r="O38" s="14"/>
    </row>
    <row r="39" spans="1:16" x14ac:dyDescent="0.25">
      <c r="A39" s="56">
        <v>37225</v>
      </c>
      <c r="B39" s="292"/>
      <c r="C39" s="453"/>
      <c r="D39" s="559">
        <v>-47216</v>
      </c>
      <c r="E39" s="57"/>
      <c r="G39" s="15"/>
      <c r="H39" s="51"/>
      <c r="I39" s="268"/>
      <c r="J39" s="248"/>
      <c r="K39" s="269"/>
      <c r="L39" s="51"/>
      <c r="M39" s="57"/>
      <c r="O39" s="15"/>
      <c r="P39" s="24"/>
    </row>
    <row r="40" spans="1:16" x14ac:dyDescent="0.25">
      <c r="A40" s="56">
        <v>37236</v>
      </c>
      <c r="B40" s="292"/>
      <c r="C40" s="454"/>
      <c r="D40" s="317">
        <f>+D39+D37</f>
        <v>-60977</v>
      </c>
      <c r="E40" s="57"/>
      <c r="G40" s="48"/>
      <c r="H40" s="131"/>
      <c r="I40" s="268"/>
      <c r="J40" s="248"/>
      <c r="K40" s="270"/>
      <c r="L40" s="131"/>
      <c r="M40" s="57"/>
      <c r="O40" s="48"/>
      <c r="P40" s="130"/>
    </row>
    <row r="41" spans="1:16" x14ac:dyDescent="0.25">
      <c r="C41" s="47"/>
      <c r="H41" s="248"/>
      <c r="I41" s="248"/>
      <c r="J41" s="248"/>
      <c r="K41" s="248"/>
      <c r="L41" s="248"/>
    </row>
    <row r="42" spans="1:16" x14ac:dyDescent="0.25">
      <c r="A42" s="57"/>
      <c r="C42" s="50"/>
      <c r="D42" s="25"/>
      <c r="H42" s="248"/>
      <c r="I42" s="248"/>
      <c r="J42" s="248"/>
      <c r="K42" s="248"/>
      <c r="L42" s="248"/>
    </row>
    <row r="43" spans="1:16" x14ac:dyDescent="0.25">
      <c r="A43" s="57"/>
      <c r="C43" s="50"/>
      <c r="H43" s="248"/>
      <c r="I43" s="248"/>
      <c r="J43" s="248"/>
      <c r="K43" s="248"/>
      <c r="L43" s="248"/>
    </row>
    <row r="44" spans="1:16" x14ac:dyDescent="0.25">
      <c r="A44" s="32" t="s">
        <v>153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5">
      <c r="A45" s="49">
        <f>+A39</f>
        <v>37225</v>
      </c>
      <c r="B45" s="32"/>
      <c r="C45" s="32"/>
      <c r="D45" s="560">
        <v>234488.68</v>
      </c>
      <c r="H45">
        <v>12</v>
      </c>
    </row>
    <row r="46" spans="1:16" x14ac:dyDescent="0.25">
      <c r="A46" s="49">
        <f>+A40</f>
        <v>37236</v>
      </c>
      <c r="B46" s="32"/>
      <c r="C46" s="32"/>
      <c r="D46" s="390">
        <f>+D37*'by type_area'!J3</f>
        <v>-27384.39</v>
      </c>
      <c r="H46">
        <v>500</v>
      </c>
    </row>
    <row r="47" spans="1:16" x14ac:dyDescent="0.25">
      <c r="A47" s="32"/>
      <c r="B47" s="32"/>
      <c r="C47" s="32"/>
      <c r="D47" s="202">
        <f>+D46+D45</f>
        <v>207104.28999999998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8" sqref="C38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-10627</v>
      </c>
      <c r="C8" s="51">
        <v>-10000</v>
      </c>
      <c r="D8" s="24">
        <f t="shared" si="0"/>
        <v>627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-9835</v>
      </c>
      <c r="C11" s="24">
        <v>-9656</v>
      </c>
      <c r="D11" s="24">
        <f t="shared" si="0"/>
        <v>179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-12907</v>
      </c>
      <c r="C13" s="24">
        <v>-13000</v>
      </c>
      <c r="D13" s="24">
        <f t="shared" si="0"/>
        <v>-93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-6318</v>
      </c>
      <c r="C14" s="24">
        <v>-6000</v>
      </c>
      <c r="D14" s="24">
        <f t="shared" si="0"/>
        <v>318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-5383</v>
      </c>
      <c r="C15" s="24">
        <v>-4262</v>
      </c>
      <c r="D15" s="24">
        <f t="shared" si="0"/>
        <v>1121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0"/>
      <c r="W34" s="300"/>
      <c r="X34" s="300"/>
      <c r="Y34" s="300"/>
      <c r="Z34" s="149"/>
      <c r="AA34" s="150"/>
      <c r="AB34" s="150"/>
      <c r="AC34" s="15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S34" s="300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0"/>
      <c r="W35" s="300"/>
      <c r="X35" s="300"/>
      <c r="Y35" s="300"/>
      <c r="Z35" s="149"/>
      <c r="AA35" s="150"/>
      <c r="AB35" s="150"/>
      <c r="AC35" s="15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  <c r="AO35" s="300"/>
      <c r="AP35" s="300"/>
      <c r="AQ35" s="300"/>
      <c r="AR35" s="300"/>
      <c r="AS35" s="300"/>
      <c r="AT35" s="300"/>
      <c r="AU35" s="300"/>
      <c r="AV35" s="300"/>
      <c r="AW35" s="300"/>
      <c r="AX35" s="300"/>
      <c r="AY35" s="300"/>
      <c r="AZ35" s="300"/>
      <c r="BA35" s="300"/>
      <c r="BB35" s="300"/>
      <c r="BC35" s="300"/>
      <c r="BD35" s="300"/>
      <c r="BE35" s="300"/>
      <c r="BF35" s="300"/>
      <c r="BG35" s="300"/>
      <c r="BH35" s="300"/>
      <c r="BI35" s="300"/>
      <c r="BJ35" s="300"/>
      <c r="BK35" s="300"/>
      <c r="BL35" s="300"/>
      <c r="BM35" s="300"/>
    </row>
    <row r="36" spans="1:65" ht="14.1" customHeight="1" x14ac:dyDescent="0.25">
      <c r="A36" s="12"/>
      <c r="B36" s="24">
        <f>SUM(B5:B35)</f>
        <v>-83864</v>
      </c>
      <c r="C36" s="24">
        <f>SUM(C5:C35)</f>
        <v>-81604</v>
      </c>
      <c r="D36" s="24">
        <f t="shared" si="0"/>
        <v>2260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0"/>
      <c r="W36" s="300"/>
      <c r="X36" s="300"/>
      <c r="Y36" s="300"/>
      <c r="Z36" s="149"/>
      <c r="AA36" s="150"/>
      <c r="AB36" s="150"/>
      <c r="AC36" s="150"/>
      <c r="AD36" s="300"/>
      <c r="AE36" s="300"/>
      <c r="AF36" s="300"/>
      <c r="AG36" s="300"/>
      <c r="AH36" s="300"/>
      <c r="AI36" s="300"/>
      <c r="AJ36" s="300"/>
      <c r="AK36" s="300"/>
      <c r="AL36" s="300"/>
      <c r="AM36" s="300"/>
      <c r="AN36" s="300"/>
      <c r="AO36" s="300"/>
      <c r="AP36" s="300"/>
      <c r="AQ36" s="300"/>
      <c r="AR36" s="300"/>
      <c r="AS36" s="300"/>
      <c r="AT36" s="300"/>
      <c r="AU36" s="300"/>
      <c r="AV36" s="300"/>
      <c r="AW36" s="300"/>
      <c r="AX36" s="300"/>
      <c r="AY36" s="300"/>
      <c r="AZ36" s="300"/>
      <c r="BA36" s="300"/>
      <c r="BB36" s="300"/>
      <c r="BC36" s="300"/>
      <c r="BD36" s="300"/>
      <c r="BE36" s="300"/>
      <c r="BF36" s="300"/>
      <c r="BG36" s="300"/>
      <c r="BH36" s="300"/>
      <c r="BI36" s="300"/>
      <c r="BJ36" s="300"/>
      <c r="BK36" s="300"/>
      <c r="BL36" s="300"/>
      <c r="BM36" s="300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0"/>
      <c r="W37" s="300"/>
      <c r="X37" s="300"/>
      <c r="Y37" s="300"/>
      <c r="Z37" s="206"/>
      <c r="AA37" s="208"/>
      <c r="AB37" s="208"/>
      <c r="AC37" s="208"/>
      <c r="AD37" s="300"/>
      <c r="AE37" s="300"/>
      <c r="AF37" s="300"/>
      <c r="AG37" s="300"/>
      <c r="AH37" s="300"/>
      <c r="AI37" s="300"/>
      <c r="AJ37" s="300"/>
      <c r="AK37" s="300"/>
      <c r="AL37" s="300"/>
      <c r="AM37" s="300"/>
      <c r="AN37" s="300"/>
      <c r="AO37" s="300"/>
      <c r="AP37" s="300"/>
      <c r="AQ37" s="300"/>
      <c r="AR37" s="300"/>
      <c r="AS37" s="300"/>
      <c r="AT37" s="300"/>
      <c r="AU37" s="300"/>
      <c r="AV37" s="300"/>
      <c r="AW37" s="300"/>
      <c r="AX37" s="300"/>
      <c r="AY37" s="300"/>
      <c r="AZ37" s="300"/>
      <c r="BA37" s="300"/>
      <c r="BB37" s="300"/>
      <c r="BC37" s="300"/>
      <c r="BD37" s="300"/>
      <c r="BE37" s="300"/>
      <c r="BF37" s="300"/>
      <c r="BG37" s="300"/>
      <c r="BH37" s="300"/>
      <c r="BI37" s="300"/>
      <c r="BJ37" s="300"/>
      <c r="BK37" s="300"/>
      <c r="BL37" s="300"/>
      <c r="BM37" s="300"/>
    </row>
    <row r="38" spans="1:65" x14ac:dyDescent="0.25">
      <c r="B38" s="253">
        <v>37225</v>
      </c>
      <c r="C38" s="24"/>
      <c r="D38" s="505">
        <v>-10080</v>
      </c>
      <c r="E38" s="2"/>
      <c r="G38" s="24"/>
      <c r="H38" s="24"/>
      <c r="I38" s="150"/>
      <c r="J38" s="300"/>
      <c r="K38" s="150"/>
      <c r="L38" s="150"/>
      <c r="M38" s="150"/>
      <c r="N38" s="300"/>
      <c r="O38" s="150"/>
      <c r="P38" s="150"/>
      <c r="Q38" s="150"/>
      <c r="R38" s="300"/>
      <c r="S38" s="150"/>
      <c r="T38" s="150"/>
      <c r="U38" s="150"/>
      <c r="V38" s="300"/>
      <c r="W38" s="300"/>
      <c r="X38" s="300"/>
      <c r="Y38" s="300"/>
      <c r="Z38" s="300"/>
      <c r="AA38" s="150"/>
      <c r="AB38" s="150"/>
      <c r="AC38" s="150"/>
      <c r="AD38" s="300"/>
      <c r="AE38" s="300"/>
      <c r="AF38" s="300"/>
      <c r="AG38" s="300"/>
      <c r="AH38" s="300"/>
      <c r="AI38" s="300"/>
      <c r="AJ38" s="300"/>
      <c r="AK38" s="300"/>
      <c r="AL38" s="300"/>
      <c r="AM38" s="300"/>
      <c r="AN38" s="300"/>
      <c r="AO38" s="300"/>
      <c r="AP38" s="300"/>
      <c r="AQ38" s="300"/>
      <c r="AR38" s="300"/>
      <c r="AS38" s="300"/>
      <c r="AT38" s="300"/>
      <c r="AU38" s="300"/>
      <c r="AV38" s="300"/>
      <c r="AW38" s="300"/>
      <c r="AX38" s="300"/>
      <c r="AY38" s="300"/>
      <c r="AZ38" s="300"/>
      <c r="BA38" s="300"/>
      <c r="BB38" s="300"/>
      <c r="BC38" s="300"/>
      <c r="BD38" s="300"/>
      <c r="BE38" s="300"/>
      <c r="BF38" s="300"/>
      <c r="BG38" s="300"/>
      <c r="BH38" s="300"/>
      <c r="BI38" s="300"/>
      <c r="BJ38" s="300"/>
      <c r="BK38" s="300"/>
      <c r="BL38" s="300"/>
      <c r="BM38" s="300"/>
    </row>
    <row r="39" spans="1:65" x14ac:dyDescent="0.25">
      <c r="B39" s="253"/>
      <c r="C39" s="24"/>
      <c r="D39" s="24"/>
      <c r="E39" s="2"/>
      <c r="G39" s="24"/>
      <c r="H39" s="24"/>
      <c r="I39" s="150"/>
      <c r="J39" s="300"/>
      <c r="K39" s="150"/>
      <c r="L39" s="150"/>
      <c r="M39" s="150"/>
      <c r="N39" s="300"/>
      <c r="O39" s="150"/>
      <c r="P39" s="150"/>
      <c r="Q39" s="150"/>
      <c r="R39" s="300"/>
      <c r="S39" s="150"/>
      <c r="T39" s="150"/>
      <c r="U39" s="150"/>
      <c r="V39" s="300"/>
      <c r="W39" s="300"/>
      <c r="X39" s="300"/>
      <c r="Y39" s="300"/>
      <c r="Z39" s="300"/>
      <c r="AA39" s="150"/>
      <c r="AB39" s="150"/>
      <c r="AC39" s="150"/>
      <c r="AD39" s="300"/>
      <c r="AE39" s="300"/>
      <c r="AF39" s="300"/>
      <c r="AG39" s="300"/>
      <c r="AH39" s="300"/>
      <c r="AI39" s="300"/>
      <c r="AJ39" s="300"/>
      <c r="AK39" s="300"/>
      <c r="AL39" s="300"/>
      <c r="AM39" s="300"/>
      <c r="AN39" s="300"/>
      <c r="AO39" s="300"/>
      <c r="AP39" s="300"/>
      <c r="AQ39" s="300"/>
      <c r="AR39" s="300"/>
      <c r="AS39" s="300"/>
      <c r="AT39" s="300"/>
      <c r="AU39" s="300"/>
      <c r="AV39" s="300"/>
      <c r="AW39" s="300"/>
      <c r="AX39" s="300"/>
      <c r="AY39" s="300"/>
      <c r="AZ39" s="300"/>
      <c r="BA39" s="300"/>
      <c r="BB39" s="300"/>
      <c r="BC39" s="300"/>
      <c r="BD39" s="300"/>
      <c r="BE39" s="300"/>
      <c r="BF39" s="300"/>
      <c r="BG39" s="300"/>
      <c r="BH39" s="300"/>
      <c r="BI39" s="300"/>
      <c r="BJ39" s="300"/>
      <c r="BK39" s="300"/>
      <c r="BL39" s="300"/>
      <c r="BM39" s="300"/>
    </row>
    <row r="40" spans="1:65" ht="13.8" thickBot="1" x14ac:dyDescent="0.3">
      <c r="B40" s="253">
        <v>37236</v>
      </c>
      <c r="C40" s="24"/>
      <c r="D40" s="195">
        <f>+D36+D38</f>
        <v>-7820</v>
      </c>
      <c r="E40" s="196"/>
      <c r="G40" s="24"/>
      <c r="H40" s="24"/>
      <c r="I40" s="150"/>
      <c r="J40" s="300"/>
      <c r="K40" s="150"/>
      <c r="L40" s="150"/>
      <c r="M40" s="150"/>
      <c r="N40" s="300"/>
      <c r="O40" s="150"/>
      <c r="P40" s="150"/>
      <c r="Q40" s="169"/>
      <c r="R40" s="300"/>
      <c r="S40" s="150"/>
      <c r="T40" s="150"/>
      <c r="U40" s="169"/>
      <c r="V40" s="300"/>
      <c r="W40" s="300"/>
      <c r="X40" s="300"/>
      <c r="Y40" s="300"/>
      <c r="Z40" s="300"/>
      <c r="AA40" s="150"/>
      <c r="AB40" s="150"/>
      <c r="AC40" s="169"/>
      <c r="AD40" s="300"/>
      <c r="AE40" s="300"/>
      <c r="AF40" s="300"/>
      <c r="AG40" s="300"/>
      <c r="AH40" s="300"/>
      <c r="AI40" s="300"/>
      <c r="AJ40" s="300"/>
      <c r="AK40" s="300"/>
      <c r="AL40" s="300"/>
      <c r="AM40" s="300"/>
      <c r="AN40" s="300"/>
      <c r="AO40" s="300"/>
      <c r="AP40" s="300"/>
      <c r="AQ40" s="300"/>
      <c r="AR40" s="300"/>
      <c r="AS40" s="300"/>
      <c r="AT40" s="300"/>
      <c r="AU40" s="300"/>
      <c r="AV40" s="300"/>
      <c r="AW40" s="300"/>
      <c r="AX40" s="300"/>
      <c r="AY40" s="300"/>
      <c r="AZ40" s="300"/>
      <c r="BA40" s="300"/>
      <c r="BB40" s="300"/>
      <c r="BC40" s="300"/>
      <c r="BD40" s="300"/>
      <c r="BE40" s="300"/>
      <c r="BF40" s="300"/>
      <c r="BG40" s="300"/>
      <c r="BH40" s="300"/>
      <c r="BI40" s="300"/>
      <c r="BJ40" s="300"/>
      <c r="BK40" s="300"/>
      <c r="BL40" s="300"/>
      <c r="BM40" s="300"/>
    </row>
    <row r="41" spans="1:65" ht="13.8" thickTop="1" x14ac:dyDescent="0.25">
      <c r="B41" s="254"/>
      <c r="C41"/>
      <c r="D41"/>
      <c r="E41" s="2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  <c r="AI41" s="300"/>
      <c r="AJ41" s="300"/>
      <c r="AK41" s="300"/>
      <c r="AL41" s="300"/>
      <c r="AM41" s="300"/>
      <c r="AN41" s="300"/>
      <c r="AO41" s="300"/>
      <c r="AP41" s="300"/>
      <c r="AQ41" s="300"/>
      <c r="AR41" s="300"/>
      <c r="AS41" s="300"/>
      <c r="AT41" s="300"/>
      <c r="AU41" s="300"/>
      <c r="AV41" s="300"/>
      <c r="AW41" s="300"/>
      <c r="AX41" s="300"/>
      <c r="AY41" s="300"/>
      <c r="AZ41" s="300"/>
      <c r="BA41" s="300"/>
      <c r="BB41" s="300"/>
      <c r="BC41" s="300"/>
      <c r="BD41" s="300"/>
      <c r="BE41" s="300"/>
      <c r="BF41" s="300"/>
      <c r="BG41" s="300"/>
      <c r="BH41" s="300"/>
      <c r="BI41" s="300"/>
      <c r="BJ41" s="300"/>
      <c r="BK41" s="300"/>
      <c r="BL41" s="300"/>
      <c r="BM41" s="300"/>
    </row>
    <row r="42" spans="1:65" x14ac:dyDescent="0.25">
      <c r="B42" s="2"/>
      <c r="C42"/>
      <c r="D42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  <c r="AI42" s="300"/>
      <c r="AJ42" s="300"/>
      <c r="AK42" s="300"/>
      <c r="AL42" s="300"/>
      <c r="AM42" s="300"/>
      <c r="AN42" s="300"/>
      <c r="AO42" s="300"/>
      <c r="AP42" s="300"/>
      <c r="AQ42" s="300"/>
      <c r="AR42" s="300"/>
      <c r="AS42" s="300"/>
      <c r="AT42" s="300"/>
      <c r="AU42" s="300"/>
      <c r="AV42" s="300"/>
      <c r="AW42" s="300"/>
      <c r="AX42" s="300"/>
      <c r="AY42" s="300"/>
      <c r="AZ42" s="300"/>
      <c r="BA42" s="300"/>
      <c r="BB42" s="300"/>
      <c r="BC42" s="300"/>
      <c r="BD42" s="300"/>
      <c r="BE42" s="300"/>
      <c r="BF42" s="300"/>
      <c r="BG42" s="300"/>
      <c r="BH42" s="300"/>
      <c r="BI42" s="300"/>
      <c r="BJ42" s="300"/>
      <c r="BK42" s="300"/>
      <c r="BL42" s="300"/>
      <c r="BM42" s="300"/>
    </row>
    <row r="43" spans="1:65" x14ac:dyDescent="0.25">
      <c r="B43"/>
      <c r="C43"/>
      <c r="D43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  <c r="AI43" s="300"/>
      <c r="AJ43" s="300"/>
      <c r="AK43" s="300"/>
      <c r="AL43" s="300"/>
      <c r="AM43" s="300"/>
      <c r="AN43" s="300"/>
      <c r="AO43" s="300"/>
      <c r="AP43" s="300"/>
      <c r="AQ43" s="300"/>
      <c r="AR43" s="300"/>
      <c r="AS43" s="300"/>
      <c r="AT43" s="300"/>
      <c r="AU43" s="300"/>
      <c r="AV43" s="300"/>
      <c r="AW43" s="300"/>
      <c r="AX43" s="300"/>
      <c r="AY43" s="300"/>
      <c r="AZ43" s="300"/>
      <c r="BA43" s="300"/>
      <c r="BB43" s="300"/>
      <c r="BC43" s="300"/>
      <c r="BD43" s="300"/>
      <c r="BE43" s="300"/>
      <c r="BF43" s="300"/>
      <c r="BG43" s="300"/>
      <c r="BH43" s="300"/>
      <c r="BI43" s="300"/>
      <c r="BJ43" s="300"/>
      <c r="BK43" s="300"/>
      <c r="BL43" s="300"/>
      <c r="BM43" s="300"/>
    </row>
    <row r="44" spans="1:65" x14ac:dyDescent="0.25">
      <c r="A44" s="32" t="s">
        <v>153</v>
      </c>
      <c r="B44" s="32"/>
      <c r="C44" s="32"/>
      <c r="D44" s="47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  <c r="AI44" s="300"/>
      <c r="AJ44" s="300"/>
      <c r="AK44" s="300"/>
      <c r="AL44" s="300"/>
      <c r="AM44" s="300"/>
      <c r="AN44" s="300"/>
      <c r="AO44" s="300"/>
      <c r="AP44" s="300"/>
      <c r="AQ44" s="300"/>
      <c r="AR44" s="300"/>
      <c r="AS44" s="300"/>
      <c r="AT44" s="300"/>
      <c r="AU44" s="300"/>
      <c r="AV44" s="300"/>
      <c r="AW44" s="300"/>
      <c r="AX44" s="300"/>
      <c r="AY44" s="300"/>
      <c r="AZ44" s="300"/>
      <c r="BA44" s="300"/>
      <c r="BB44" s="300"/>
      <c r="BC44" s="300"/>
      <c r="BD44" s="300"/>
      <c r="BE44" s="300"/>
      <c r="BF44" s="300"/>
      <c r="BG44" s="300"/>
      <c r="BH44" s="300"/>
      <c r="BI44" s="300"/>
      <c r="BJ44" s="300"/>
      <c r="BK44" s="300"/>
      <c r="BL44" s="300"/>
      <c r="BM44" s="300"/>
    </row>
    <row r="45" spans="1:65" x14ac:dyDescent="0.25">
      <c r="A45" s="49">
        <f>+B38</f>
        <v>37225</v>
      </c>
      <c r="B45" s="32"/>
      <c r="C45" s="32"/>
      <c r="D45" s="514">
        <v>-375871</v>
      </c>
    </row>
    <row r="46" spans="1:65" x14ac:dyDescent="0.25">
      <c r="A46" s="49">
        <f>+B40</f>
        <v>37236</v>
      </c>
      <c r="B46" s="32"/>
      <c r="C46" s="32"/>
      <c r="D46" s="390">
        <f>+D36*'by type_area'!J4</f>
        <v>4565.2</v>
      </c>
    </row>
    <row r="47" spans="1:65" x14ac:dyDescent="0.25">
      <c r="A47" s="32"/>
      <c r="B47" s="32"/>
      <c r="C47" s="32"/>
      <c r="D47" s="202">
        <f>+D46+D45</f>
        <v>-371305.8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C11" sqref="C11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2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56339</v>
      </c>
      <c r="B5" s="90">
        <v>337478</v>
      </c>
      <c r="C5" s="90">
        <v>378203</v>
      </c>
      <c r="D5" s="90">
        <f>+C5-B5</f>
        <v>40725</v>
      </c>
      <c r="E5" s="282"/>
      <c r="F5" s="280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320826</v>
      </c>
      <c r="C7" s="90">
        <v>368027</v>
      </c>
      <c r="D7" s="90">
        <f t="shared" si="0"/>
        <v>47201</v>
      </c>
      <c r="E7" s="282"/>
      <c r="F7" s="280"/>
      <c r="L7" t="s">
        <v>26</v>
      </c>
      <c r="M7">
        <v>7.6</v>
      </c>
    </row>
    <row r="8" spans="1:13" x14ac:dyDescent="0.25">
      <c r="A8" s="87">
        <v>500239</v>
      </c>
      <c r="B8" s="90">
        <v>384805</v>
      </c>
      <c r="C8" s="90">
        <v>388380</v>
      </c>
      <c r="D8" s="90">
        <f t="shared" si="0"/>
        <v>3575</v>
      </c>
      <c r="E8" s="504">
        <v>37198</v>
      </c>
      <c r="F8" s="280"/>
    </row>
    <row r="9" spans="1:13" x14ac:dyDescent="0.25">
      <c r="A9" s="87">
        <v>500293</v>
      </c>
      <c r="B9" s="90">
        <v>182551</v>
      </c>
      <c r="C9" s="90">
        <v>217849</v>
      </c>
      <c r="D9" s="90">
        <f t="shared" si="0"/>
        <v>35298</v>
      </c>
      <c r="E9" s="282"/>
      <c r="F9" s="280"/>
    </row>
    <row r="10" spans="1:13" x14ac:dyDescent="0.25">
      <c r="A10" s="87">
        <v>500302</v>
      </c>
      <c r="B10" s="90"/>
      <c r="C10" s="90">
        <v>3031</v>
      </c>
      <c r="D10" s="90">
        <f t="shared" si="0"/>
        <v>3031</v>
      </c>
      <c r="E10" s="282"/>
      <c r="F10" s="280"/>
    </row>
    <row r="11" spans="1:13" x14ac:dyDescent="0.25">
      <c r="A11" s="87">
        <v>500303</v>
      </c>
      <c r="B11" s="90"/>
      <c r="C11" s="90">
        <v>111886</v>
      </c>
      <c r="D11" s="90">
        <f t="shared" si="0"/>
        <v>111886</v>
      </c>
      <c r="E11" s="282"/>
      <c r="F11" s="280"/>
    </row>
    <row r="12" spans="1:13" x14ac:dyDescent="0.25">
      <c r="A12" s="91">
        <v>500305</v>
      </c>
      <c r="B12" s="90">
        <v>613453</v>
      </c>
      <c r="C12" s="90">
        <v>476896</v>
      </c>
      <c r="D12" s="90">
        <f t="shared" si="0"/>
        <v>-136557</v>
      </c>
      <c r="E12" s="283"/>
      <c r="F12" s="280"/>
    </row>
    <row r="13" spans="1:13" x14ac:dyDescent="0.25">
      <c r="A13" s="87">
        <v>500307</v>
      </c>
      <c r="B13" s="90">
        <v>39993</v>
      </c>
      <c r="C13" s="90">
        <v>23408</v>
      </c>
      <c r="D13" s="90">
        <f t="shared" si="0"/>
        <v>-16585</v>
      </c>
      <c r="E13" s="282"/>
      <c r="F13" s="280"/>
    </row>
    <row r="14" spans="1:13" x14ac:dyDescent="0.25">
      <c r="A14" s="87">
        <v>500313</v>
      </c>
      <c r="B14" s="90"/>
      <c r="C14" s="90">
        <v>1111</v>
      </c>
      <c r="D14" s="90">
        <f t="shared" si="0"/>
        <v>1111</v>
      </c>
      <c r="E14" s="282"/>
      <c r="F14" s="280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2"/>
      <c r="F15" s="280"/>
    </row>
    <row r="16" spans="1:13" x14ac:dyDescent="0.25">
      <c r="A16" s="87">
        <v>500655</v>
      </c>
      <c r="B16" s="90">
        <v>26061</v>
      </c>
      <c r="C16" s="90"/>
      <c r="D16" s="90">
        <f t="shared" si="0"/>
        <v>-26061</v>
      </c>
      <c r="E16" s="282"/>
      <c r="F16" s="280"/>
    </row>
    <row r="17" spans="1:6" x14ac:dyDescent="0.25">
      <c r="A17" s="87">
        <v>500657</v>
      </c>
      <c r="B17" s="88">
        <v>64660</v>
      </c>
      <c r="C17" s="88">
        <v>61897</v>
      </c>
      <c r="D17" s="94">
        <f t="shared" si="0"/>
        <v>-2763</v>
      </c>
      <c r="E17" s="282"/>
      <c r="F17" s="280"/>
    </row>
    <row r="18" spans="1:6" x14ac:dyDescent="0.25">
      <c r="A18" s="87"/>
      <c r="B18" s="88"/>
      <c r="C18" s="88"/>
      <c r="D18" s="88">
        <f>SUM(D5:D17)</f>
        <v>60861</v>
      </c>
      <c r="E18" s="282"/>
      <c r="F18" s="280"/>
    </row>
    <row r="19" spans="1:6" x14ac:dyDescent="0.25">
      <c r="A19" s="87" t="s">
        <v>82</v>
      </c>
      <c r="B19" s="88"/>
      <c r="C19" s="88"/>
      <c r="D19" s="95">
        <f>+summary!H5</f>
        <v>2.04</v>
      </c>
      <c r="E19" s="284"/>
      <c r="F19" s="280"/>
    </row>
    <row r="20" spans="1:6" x14ac:dyDescent="0.25">
      <c r="A20" s="87"/>
      <c r="B20" s="88"/>
      <c r="C20" s="88"/>
      <c r="D20" s="96">
        <f>+D19*D18</f>
        <v>124156.44</v>
      </c>
      <c r="E20" s="209"/>
      <c r="F20" s="281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37225</v>
      </c>
      <c r="B22" s="88"/>
      <c r="C22" s="88"/>
      <c r="D22" s="564">
        <v>40288.339999999997</v>
      </c>
      <c r="E22" s="209"/>
      <c r="F22" s="66"/>
    </row>
    <row r="23" spans="1:6" x14ac:dyDescent="0.25">
      <c r="A23" s="87"/>
      <c r="B23" s="88"/>
      <c r="C23" s="88"/>
      <c r="D23" s="318"/>
      <c r="E23" s="209"/>
      <c r="F23" s="66"/>
    </row>
    <row r="24" spans="1:6" ht="13.8" thickBot="1" x14ac:dyDescent="0.3">
      <c r="A24" s="99">
        <v>37236</v>
      </c>
      <c r="B24" s="88"/>
      <c r="C24" s="88"/>
      <c r="D24" s="329">
        <f>+D22+D20</f>
        <v>164444.78</v>
      </c>
      <c r="E24" s="209"/>
      <c r="F24" s="66"/>
    </row>
    <row r="25" spans="1:6" ht="13.8" thickTop="1" x14ac:dyDescent="0.25">
      <c r="E25" s="285"/>
    </row>
    <row r="28" spans="1:6" x14ac:dyDescent="0.25">
      <c r="A28" s="32" t="s">
        <v>152</v>
      </c>
      <c r="B28" s="32"/>
      <c r="C28" s="32"/>
      <c r="D28" s="32"/>
      <c r="E28" s="356"/>
    </row>
    <row r="29" spans="1:6" x14ac:dyDescent="0.25">
      <c r="A29" s="49">
        <f>+A22</f>
        <v>37225</v>
      </c>
      <c r="B29" s="32"/>
      <c r="C29" s="32"/>
      <c r="D29" s="557">
        <v>31564</v>
      </c>
    </row>
    <row r="30" spans="1:6" x14ac:dyDescent="0.25">
      <c r="A30" s="49">
        <f>+A24</f>
        <v>37236</v>
      </c>
      <c r="B30" s="32"/>
      <c r="C30" s="32"/>
      <c r="D30" s="363">
        <f>+D18</f>
        <v>60861</v>
      </c>
    </row>
    <row r="31" spans="1:6" x14ac:dyDescent="0.25">
      <c r="A31" s="32"/>
      <c r="B31" s="32"/>
      <c r="C31" s="32"/>
      <c r="D31" s="14">
        <f>+D30+D29</f>
        <v>92425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203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42" sqref="C42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23"/>
      <c r="J2" s="2"/>
      <c r="K2" s="2"/>
      <c r="L2" s="104"/>
      <c r="M2" s="143" t="s">
        <v>181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23" t="s">
        <v>40</v>
      </c>
      <c r="I3" s="4" t="s">
        <v>20</v>
      </c>
      <c r="J3" s="4" t="s">
        <v>21</v>
      </c>
      <c r="K3" s="421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23"/>
      <c r="I4" s="14"/>
      <c r="J4" s="14"/>
      <c r="K4" s="14">
        <f t="shared" ref="K4:K9" si="0">+J4-I4</f>
        <v>0</v>
      </c>
      <c r="L4" s="374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23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74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23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74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36422</v>
      </c>
      <c r="C7" s="11">
        <v>35544</v>
      </c>
      <c r="D7" s="11">
        <v>34771</v>
      </c>
      <c r="E7" s="11">
        <v>29872</v>
      </c>
      <c r="F7" s="25">
        <f t="shared" si="2"/>
        <v>-5777</v>
      </c>
      <c r="G7" s="25"/>
      <c r="H7" s="423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74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36277</v>
      </c>
      <c r="C8" s="11">
        <v>33702</v>
      </c>
      <c r="D8" s="11">
        <v>30329</v>
      </c>
      <c r="E8" s="11">
        <v>32000</v>
      </c>
      <c r="F8" s="25">
        <f t="shared" si="2"/>
        <v>-904</v>
      </c>
      <c r="G8" s="25"/>
      <c r="H8" s="423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74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40078</v>
      </c>
      <c r="C9" s="11">
        <v>36144</v>
      </c>
      <c r="D9" s="11">
        <v>21788</v>
      </c>
      <c r="E9" s="11">
        <v>34000</v>
      </c>
      <c r="F9" s="25">
        <f t="shared" si="2"/>
        <v>8278</v>
      </c>
      <c r="G9" s="25"/>
      <c r="H9" s="423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74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34452</v>
      </c>
      <c r="C10" s="11">
        <v>35502</v>
      </c>
      <c r="D10" s="129">
        <v>34276</v>
      </c>
      <c r="E10" s="11">
        <v>33385</v>
      </c>
      <c r="F10" s="25">
        <f t="shared" si="2"/>
        <v>159</v>
      </c>
      <c r="G10" s="25"/>
      <c r="H10" s="423"/>
      <c r="I10" s="14"/>
      <c r="J10" s="14"/>
      <c r="K10" s="14"/>
      <c r="L10" s="374"/>
      <c r="M10" s="15"/>
      <c r="N10" s="15">
        <f>SUM(N5:N9)</f>
        <v>489002.35</v>
      </c>
    </row>
    <row r="11" spans="1:14" x14ac:dyDescent="0.2">
      <c r="A11" s="41">
        <v>8</v>
      </c>
      <c r="B11" s="11">
        <v>35161</v>
      </c>
      <c r="C11" s="11">
        <v>36050</v>
      </c>
      <c r="D11" s="11">
        <v>35128</v>
      </c>
      <c r="E11" s="11">
        <v>32613</v>
      </c>
      <c r="F11" s="25">
        <f>+E11+C11-D11-B11</f>
        <v>-1626</v>
      </c>
      <c r="G11" s="25"/>
      <c r="H11" s="423"/>
      <c r="I11" s="14"/>
      <c r="J11" s="14"/>
      <c r="K11" s="15"/>
      <c r="L11" s="374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33439</v>
      </c>
      <c r="C12" s="11">
        <v>36143</v>
      </c>
      <c r="D12" s="11">
        <v>34652</v>
      </c>
      <c r="E12" s="11">
        <v>32699</v>
      </c>
      <c r="F12" s="25">
        <f>+E12+C12-D12-B12</f>
        <v>751</v>
      </c>
      <c r="G12" s="25"/>
      <c r="H12" s="423"/>
      <c r="I12" s="24"/>
      <c r="J12" s="24"/>
      <c r="K12" s="110"/>
      <c r="L12" s="425"/>
      <c r="M12" s="110"/>
    </row>
    <row r="13" spans="1:14" x14ac:dyDescent="0.2">
      <c r="A13" s="41">
        <v>10</v>
      </c>
      <c r="B13" s="129">
        <v>33854</v>
      </c>
      <c r="C13" s="11">
        <v>36144</v>
      </c>
      <c r="D13" s="129">
        <v>33814</v>
      </c>
      <c r="E13" s="11">
        <v>32699</v>
      </c>
      <c r="F13" s="25">
        <f t="shared" si="2"/>
        <v>1175</v>
      </c>
      <c r="G13" s="25"/>
      <c r="I13" s="24"/>
      <c r="J13" s="24"/>
      <c r="K13" s="24">
        <f>SUM(K4:K12)</f>
        <v>135930</v>
      </c>
      <c r="L13" s="425"/>
      <c r="M13" s="110">
        <f>SUM(M4:M12)</f>
        <v>489002.35000000003</v>
      </c>
    </row>
    <row r="14" spans="1:14" x14ac:dyDescent="0.2">
      <c r="A14" s="41">
        <v>11</v>
      </c>
      <c r="B14" s="11">
        <v>33642</v>
      </c>
      <c r="C14" s="11">
        <v>36144</v>
      </c>
      <c r="D14" s="11">
        <v>33797</v>
      </c>
      <c r="E14" s="11">
        <v>32700</v>
      </c>
      <c r="F14" s="25">
        <f t="shared" si="2"/>
        <v>1405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386978</v>
      </c>
      <c r="C35" s="11">
        <f>SUM(C4:C34)</f>
        <v>386366</v>
      </c>
      <c r="D35" s="11">
        <f>SUM(D4:D34)</f>
        <v>365926</v>
      </c>
      <c r="E35" s="11">
        <f>SUM(E4:E34)</f>
        <v>355968</v>
      </c>
      <c r="F35" s="11">
        <f>+E35-D35+C35-B35</f>
        <v>-10570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63">
        <f>+summary!H4</f>
        <v>2.02</v>
      </c>
    </row>
    <row r="38" spans="1:7" x14ac:dyDescent="0.2">
      <c r="C38" s="48"/>
      <c r="D38" s="47"/>
      <c r="E38" s="48"/>
      <c r="F38" s="46">
        <f>+F37*F35</f>
        <v>-21351.4</v>
      </c>
      <c r="G38" s="138"/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516"/>
      <c r="D40" s="111"/>
      <c r="E40" s="516"/>
      <c r="F40" s="561">
        <v>377734.69</v>
      </c>
      <c r="G40" s="25"/>
    </row>
    <row r="41" spans="1:7" x14ac:dyDescent="0.2">
      <c r="A41" s="57">
        <v>37236</v>
      </c>
      <c r="C41" s="106"/>
      <c r="D41" s="106"/>
      <c r="E41" s="106"/>
      <c r="F41" s="106">
        <f>+F38+F40</f>
        <v>356383.29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2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62">
        <f>-18785+23342</f>
        <v>4557</v>
      </c>
      <c r="E46" s="11"/>
      <c r="F46" s="11"/>
      <c r="G46" s="25"/>
    </row>
    <row r="47" spans="1:7" x14ac:dyDescent="0.2">
      <c r="A47" s="49">
        <f>+A41</f>
        <v>37236</v>
      </c>
      <c r="D47" s="363">
        <f>+F35</f>
        <v>-10570</v>
      </c>
      <c r="E47" s="11"/>
      <c r="F47" s="11"/>
      <c r="G47" s="25"/>
    </row>
    <row r="48" spans="1:7" x14ac:dyDescent="0.2">
      <c r="D48" s="14">
        <f>+D47+D46</f>
        <v>-6013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E16" sqref="E16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149217</v>
      </c>
      <c r="C6" s="11">
        <v>163364</v>
      </c>
      <c r="D6" s="11"/>
      <c r="E6" s="11">
        <v>-14405</v>
      </c>
      <c r="F6" s="11">
        <f t="shared" ref="F6:F35" si="2">+C6+E6-B6-D6</f>
        <v>-258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154169</v>
      </c>
      <c r="C8" s="11">
        <v>157385</v>
      </c>
      <c r="D8" s="11"/>
      <c r="E8" s="11">
        <v>-4768</v>
      </c>
      <c r="F8" s="11">
        <f t="shared" si="2"/>
        <v>-1552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157375</v>
      </c>
      <c r="C9" s="11">
        <v>160673</v>
      </c>
      <c r="D9" s="11"/>
      <c r="E9" s="11">
        <v>-4235</v>
      </c>
      <c r="F9" s="11">
        <f t="shared" si="2"/>
        <v>-937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157588</v>
      </c>
      <c r="C10" s="11">
        <v>161529</v>
      </c>
      <c r="D10" s="11"/>
      <c r="E10" s="11">
        <v>-4769</v>
      </c>
      <c r="F10" s="11">
        <f t="shared" si="2"/>
        <v>-828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145516</v>
      </c>
      <c r="C11" s="11">
        <v>151339</v>
      </c>
      <c r="D11" s="11"/>
      <c r="E11" s="11">
        <v>-6919</v>
      </c>
      <c r="F11" s="11">
        <f t="shared" si="2"/>
        <v>-1096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138654</v>
      </c>
      <c r="C12" s="11">
        <v>150353</v>
      </c>
      <c r="D12" s="11"/>
      <c r="E12" s="11">
        <v>-12536</v>
      </c>
      <c r="F12" s="11">
        <f t="shared" si="2"/>
        <v>-837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137513</v>
      </c>
      <c r="C13" s="11">
        <v>150587</v>
      </c>
      <c r="D13" s="11"/>
      <c r="E13" s="11">
        <v>-14369</v>
      </c>
      <c r="F13" s="11">
        <f t="shared" si="2"/>
        <v>-1295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147006</v>
      </c>
      <c r="C14" s="11">
        <v>150703</v>
      </c>
      <c r="D14" s="11"/>
      <c r="E14" s="11">
        <v>-4769</v>
      </c>
      <c r="F14" s="11">
        <f t="shared" si="2"/>
        <v>-1072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140860</v>
      </c>
      <c r="C15" s="11">
        <v>151327</v>
      </c>
      <c r="D15" s="11"/>
      <c r="E15" s="11">
        <v>-11510</v>
      </c>
      <c r="F15" s="11">
        <f t="shared" si="2"/>
        <v>-1043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1588651</v>
      </c>
      <c r="C36" s="11">
        <f>SUM(C5:C35)</f>
        <v>1700284</v>
      </c>
      <c r="D36" s="11">
        <f>SUM(D5:D35)</f>
        <v>0</v>
      </c>
      <c r="E36" s="11">
        <f>SUM(E5:E35)</f>
        <v>-116374</v>
      </c>
      <c r="F36" s="11">
        <f>SUM(F5:F35)</f>
        <v>-4741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37225</v>
      </c>
      <c r="F39" s="506">
        <f>43731-22975</f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37236</v>
      </c>
      <c r="F41" s="344">
        <f>+F39+F36</f>
        <v>16015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37225</v>
      </c>
      <c r="C47" s="32"/>
      <c r="D47" s="32"/>
      <c r="E47" s="514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37236</v>
      </c>
      <c r="C48" s="32"/>
      <c r="D48" s="32"/>
      <c r="E48" s="390">
        <f>+F36*'by type_area'!J3</f>
        <v>-9434.59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-420397.59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9" workbookViewId="0">
      <selection activeCell="C42" sqref="C42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72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5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5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5">
      <c r="A11" s="10">
        <v>4</v>
      </c>
      <c r="B11" s="11">
        <v>75301</v>
      </c>
      <c r="C11" s="11">
        <v>74820</v>
      </c>
      <c r="D11" s="11">
        <f t="shared" si="0"/>
        <v>-481</v>
      </c>
      <c r="E11" s="10"/>
      <c r="F11" s="11"/>
      <c r="G11" s="11"/>
      <c r="H11" s="11"/>
    </row>
    <row r="12" spans="1:8" x14ac:dyDescent="0.25">
      <c r="A12" s="10">
        <v>5</v>
      </c>
      <c r="B12" s="11">
        <v>74993</v>
      </c>
      <c r="C12" s="11">
        <v>74822</v>
      </c>
      <c r="D12" s="11">
        <f t="shared" si="0"/>
        <v>-171</v>
      </c>
      <c r="E12" s="10"/>
      <c r="F12" s="11"/>
      <c r="G12" s="11"/>
      <c r="H12" s="11"/>
    </row>
    <row r="13" spans="1:8" x14ac:dyDescent="0.25">
      <c r="A13" s="10">
        <v>6</v>
      </c>
      <c r="B13" s="11">
        <v>77697</v>
      </c>
      <c r="C13" s="11">
        <v>78322</v>
      </c>
      <c r="D13" s="11">
        <f t="shared" si="0"/>
        <v>625</v>
      </c>
      <c r="E13" s="10"/>
      <c r="F13" s="11"/>
      <c r="G13" s="11"/>
      <c r="H13" s="11"/>
    </row>
    <row r="14" spans="1:8" x14ac:dyDescent="0.25">
      <c r="A14" s="10">
        <v>7</v>
      </c>
      <c r="B14" s="11">
        <v>83890</v>
      </c>
      <c r="C14" s="11">
        <v>83066</v>
      </c>
      <c r="D14" s="11">
        <f t="shared" si="0"/>
        <v>-824</v>
      </c>
      <c r="E14" s="10"/>
      <c r="F14" s="11"/>
      <c r="G14" s="11"/>
      <c r="H14" s="11"/>
    </row>
    <row r="15" spans="1:8" x14ac:dyDescent="0.25">
      <c r="A15" s="10">
        <v>8</v>
      </c>
      <c r="B15" s="11">
        <v>85931</v>
      </c>
      <c r="C15" s="11">
        <v>84822</v>
      </c>
      <c r="D15" s="11">
        <f t="shared" si="0"/>
        <v>-1109</v>
      </c>
      <c r="E15" s="10"/>
      <c r="F15" s="11"/>
      <c r="G15" s="11"/>
      <c r="H15" s="11"/>
    </row>
    <row r="16" spans="1:8" x14ac:dyDescent="0.25">
      <c r="A16" s="10">
        <v>9</v>
      </c>
      <c r="B16" s="11">
        <v>85552</v>
      </c>
      <c r="C16" s="11">
        <v>84822</v>
      </c>
      <c r="D16" s="11">
        <f t="shared" si="0"/>
        <v>-730</v>
      </c>
      <c r="E16" s="10"/>
      <c r="F16" s="11"/>
      <c r="G16" s="11"/>
      <c r="H16" s="11"/>
    </row>
    <row r="17" spans="1:8" x14ac:dyDescent="0.25">
      <c r="A17" s="10">
        <v>10</v>
      </c>
      <c r="B17" s="11">
        <v>84996</v>
      </c>
      <c r="C17" s="11">
        <v>84822</v>
      </c>
      <c r="D17" s="11">
        <f t="shared" si="0"/>
        <v>-174</v>
      </c>
      <c r="E17" s="10"/>
      <c r="F17" s="11"/>
      <c r="G17" s="11"/>
      <c r="H17" s="11"/>
    </row>
    <row r="18" spans="1:8" x14ac:dyDescent="0.25">
      <c r="A18" s="10">
        <v>11</v>
      </c>
      <c r="B18" s="11">
        <v>94818</v>
      </c>
      <c r="C18" s="11">
        <v>94822</v>
      </c>
      <c r="D18" s="11">
        <f t="shared" si="0"/>
        <v>4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979117</v>
      </c>
      <c r="C39" s="11">
        <f>SUM(C8:C38)</f>
        <v>974190</v>
      </c>
      <c r="D39" s="11">
        <f>SUM(D8:D38)</f>
        <v>-4927</v>
      </c>
      <c r="E39" s="10"/>
      <c r="F39" s="11"/>
      <c r="G39" s="11"/>
      <c r="H39" s="11"/>
    </row>
    <row r="40" spans="1:8" x14ac:dyDescent="0.25">
      <c r="A40" s="26"/>
      <c r="D40" s="75">
        <f>+summary!H4</f>
        <v>2.02</v>
      </c>
      <c r="E40" s="26"/>
      <c r="H40" s="75"/>
    </row>
    <row r="41" spans="1:8" x14ac:dyDescent="0.25">
      <c r="D41" s="197">
        <f>+D40*D39</f>
        <v>-9952.5400000000009</v>
      </c>
      <c r="F41" s="250"/>
      <c r="H41" s="197"/>
    </row>
    <row r="42" spans="1:8" x14ac:dyDescent="0.25">
      <c r="A42" s="57">
        <v>37225</v>
      </c>
      <c r="D42" s="577">
        <v>8908.65</v>
      </c>
      <c r="E42" s="57"/>
      <c r="H42" s="197"/>
    </row>
    <row r="43" spans="1:8" x14ac:dyDescent="0.25">
      <c r="A43" s="57">
        <v>37236</v>
      </c>
      <c r="D43" s="198">
        <f>+D42+D41</f>
        <v>-1043.8900000000012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152</v>
      </c>
      <c r="B47" s="32"/>
      <c r="C47" s="32"/>
      <c r="D47" s="32"/>
    </row>
    <row r="48" spans="1:8" x14ac:dyDescent="0.25">
      <c r="A48" s="49">
        <f>+A42</f>
        <v>37225</v>
      </c>
      <c r="B48" s="32"/>
      <c r="C48" s="32"/>
      <c r="D48" s="557">
        <v>-51521</v>
      </c>
    </row>
    <row r="49" spans="1:4" x14ac:dyDescent="0.25">
      <c r="A49" s="49">
        <f>+A43</f>
        <v>37236</v>
      </c>
      <c r="B49" s="32"/>
      <c r="C49" s="32"/>
      <c r="D49" s="363">
        <f>+D39</f>
        <v>-4927</v>
      </c>
    </row>
    <row r="50" spans="1:4" x14ac:dyDescent="0.25">
      <c r="A50" s="32"/>
      <c r="B50" s="32"/>
      <c r="C50" s="32"/>
      <c r="D50" s="14">
        <f>+D49+D48</f>
        <v>-56448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workbookViewId="0">
      <selection activeCell="B48" sqref="B48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64" customWidth="1"/>
  </cols>
  <sheetData>
    <row r="2" spans="1:14" x14ac:dyDescent="0.25">
      <c r="A2" s="2" t="s">
        <v>94</v>
      </c>
      <c r="G2" s="32"/>
      <c r="H2" s="15"/>
      <c r="I2" s="32"/>
      <c r="J2" s="15"/>
    </row>
    <row r="3" spans="1:14" x14ac:dyDescent="0.25">
      <c r="A3" s="2" t="s">
        <v>73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63">
        <v>37225</v>
      </c>
      <c r="C5" s="569">
        <v>1497337.92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265</v>
      </c>
      <c r="J6" s="15"/>
    </row>
    <row r="7" spans="1:14" x14ac:dyDescent="0.25">
      <c r="A7" s="57">
        <v>37235</v>
      </c>
      <c r="I7" s="3" t="s">
        <v>272</v>
      </c>
      <c r="J7" s="15"/>
    </row>
    <row r="8" spans="1:14" x14ac:dyDescent="0.25">
      <c r="A8" s="251">
        <v>50895</v>
      </c>
      <c r="B8" s="351">
        <f>2213-1885</f>
        <v>328</v>
      </c>
      <c r="J8" s="15"/>
    </row>
    <row r="9" spans="1:14" x14ac:dyDescent="0.25">
      <c r="A9" s="251">
        <v>60874</v>
      </c>
      <c r="B9" s="351">
        <v>1205</v>
      </c>
      <c r="J9" s="15"/>
    </row>
    <row r="10" spans="1:14" x14ac:dyDescent="0.25">
      <c r="A10" s="251">
        <v>78169</v>
      </c>
      <c r="B10" s="351">
        <f>274313-235467</f>
        <v>38846</v>
      </c>
      <c r="I10" s="87" t="s">
        <v>266</v>
      </c>
      <c r="J10" s="545" t="s">
        <v>28</v>
      </c>
      <c r="K10" s="87" t="s">
        <v>267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545">
        <f>+C40</f>
        <v>811403.49</v>
      </c>
      <c r="K11" s="87" t="s">
        <v>268</v>
      </c>
      <c r="L11" s="87"/>
      <c r="M11" s="87"/>
      <c r="N11" s="87"/>
    </row>
    <row r="12" spans="1:14" ht="20.100000000000001" customHeight="1" x14ac:dyDescent="0.25">
      <c r="A12" s="251">
        <v>500248</v>
      </c>
      <c r="B12" s="353"/>
      <c r="I12" s="87">
        <v>24693</v>
      </c>
      <c r="J12" s="493">
        <v>275313.71999999997</v>
      </c>
      <c r="K12" s="87" t="s">
        <v>269</v>
      </c>
      <c r="L12" s="87"/>
      <c r="M12" s="87"/>
      <c r="N12" s="87"/>
    </row>
    <row r="13" spans="1:14" ht="20.100000000000001" customHeight="1" x14ac:dyDescent="0.25">
      <c r="A13" s="251">
        <v>500251</v>
      </c>
      <c r="B13" s="327">
        <f>4813-3684</f>
        <v>1129</v>
      </c>
      <c r="I13" s="87">
        <v>21665</v>
      </c>
      <c r="J13" s="493">
        <v>73449.16</v>
      </c>
      <c r="K13" s="87" t="s">
        <v>271</v>
      </c>
      <c r="L13" s="87"/>
      <c r="M13" s="87"/>
      <c r="N13" s="87"/>
    </row>
    <row r="14" spans="1:14" ht="20.100000000000001" customHeight="1" x14ac:dyDescent="0.25">
      <c r="A14" s="251">
        <v>500254</v>
      </c>
      <c r="B14" s="327">
        <f>1372-1479</f>
        <v>-107</v>
      </c>
      <c r="I14" s="87">
        <v>22664</v>
      </c>
      <c r="J14" s="496">
        <v>23612.35</v>
      </c>
      <c r="K14" s="87" t="s">
        <v>273</v>
      </c>
      <c r="L14" s="87"/>
      <c r="M14" s="87"/>
      <c r="N14" s="87"/>
    </row>
    <row r="15" spans="1:14" ht="20.100000000000001" customHeight="1" x14ac:dyDescent="0.25">
      <c r="A15" s="32">
        <v>500255</v>
      </c>
      <c r="B15" s="327">
        <f>4813-4253</f>
        <v>560</v>
      </c>
      <c r="I15" s="87"/>
      <c r="J15" s="493">
        <f>SUM(J11:J14)</f>
        <v>1183778.72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27">
        <f>312-279</f>
        <v>33</v>
      </c>
      <c r="I16" s="87"/>
      <c r="J16" s="493"/>
      <c r="K16" s="87"/>
      <c r="L16" s="87"/>
      <c r="M16" s="87"/>
      <c r="N16" s="87"/>
    </row>
    <row r="17" spans="1:14" x14ac:dyDescent="0.25">
      <c r="A17" s="287">
        <v>500267</v>
      </c>
      <c r="B17" s="352">
        <f>556732-579413</f>
        <v>-22681</v>
      </c>
      <c r="I17" s="87"/>
      <c r="J17" s="493"/>
      <c r="K17" s="87"/>
      <c r="L17" s="87"/>
      <c r="M17" s="87"/>
      <c r="N17" s="87"/>
    </row>
    <row r="18" spans="1:14" x14ac:dyDescent="0.25">
      <c r="B18" s="14">
        <f>SUM(B8:B17)</f>
        <v>19313</v>
      </c>
      <c r="I18" s="87"/>
      <c r="J18" s="493"/>
      <c r="K18" s="87"/>
      <c r="L18" s="87"/>
      <c r="M18" s="87"/>
      <c r="N18" s="87"/>
    </row>
    <row r="19" spans="1:14" x14ac:dyDescent="0.25">
      <c r="B19" s="15">
        <f>+summary!H5</f>
        <v>2.04</v>
      </c>
      <c r="C19" s="201">
        <f>+B19*B18</f>
        <v>39398.520000000004</v>
      </c>
      <c r="G19" s="32"/>
      <c r="H19" s="395"/>
      <c r="I19" s="338"/>
      <c r="J19" s="493"/>
      <c r="K19" s="87"/>
      <c r="L19" s="87"/>
      <c r="M19" s="87"/>
      <c r="N19" s="87"/>
    </row>
    <row r="20" spans="1:14" x14ac:dyDescent="0.25">
      <c r="C20" s="332">
        <f>+C19+C5</f>
        <v>1536736.44</v>
      </c>
      <c r="E20" s="15"/>
      <c r="G20" s="32"/>
      <c r="H20" s="395"/>
      <c r="I20" s="338"/>
      <c r="J20" s="493"/>
      <c r="K20" s="87"/>
      <c r="L20" s="87"/>
      <c r="M20" s="87"/>
      <c r="N20" s="87"/>
    </row>
    <row r="21" spans="1:14" x14ac:dyDescent="0.25">
      <c r="E21" s="15"/>
      <c r="G21" s="32"/>
      <c r="H21" s="395"/>
      <c r="I21" s="338"/>
      <c r="J21" s="493"/>
      <c r="K21" s="87"/>
      <c r="L21" s="87"/>
      <c r="M21" s="87"/>
      <c r="N21" s="87"/>
    </row>
    <row r="22" spans="1:14" x14ac:dyDescent="0.25">
      <c r="A22" s="32" t="s">
        <v>87</v>
      </c>
      <c r="G22" s="32"/>
      <c r="H22" s="395"/>
      <c r="I22" s="338"/>
      <c r="J22" s="493"/>
      <c r="K22" s="87"/>
      <c r="L22" s="87"/>
      <c r="M22" s="87"/>
      <c r="N22" s="87"/>
    </row>
    <row r="23" spans="1:14" x14ac:dyDescent="0.25">
      <c r="A23" s="2" t="s">
        <v>74</v>
      </c>
      <c r="G23" s="32"/>
      <c r="H23" s="395"/>
      <c r="I23" s="338"/>
      <c r="J23" s="493"/>
      <c r="K23" s="87"/>
      <c r="L23" s="87"/>
      <c r="M23" s="87"/>
      <c r="N23" s="87"/>
    </row>
    <row r="24" spans="1:14" x14ac:dyDescent="0.25">
      <c r="G24" s="32"/>
      <c r="H24" s="395"/>
      <c r="I24" s="338"/>
      <c r="J24" s="493"/>
      <c r="K24" s="87"/>
      <c r="L24" s="87"/>
      <c r="M24" s="87"/>
      <c r="N24" s="87"/>
    </row>
    <row r="25" spans="1:14" x14ac:dyDescent="0.25">
      <c r="G25" s="32"/>
      <c r="H25" s="395"/>
      <c r="I25" s="338"/>
      <c r="J25" s="493"/>
      <c r="K25" s="87"/>
      <c r="L25" s="87"/>
      <c r="M25" s="87"/>
      <c r="N25" s="87"/>
    </row>
    <row r="26" spans="1:14" x14ac:dyDescent="0.25">
      <c r="A26" s="200">
        <v>37225</v>
      </c>
      <c r="C26" s="569">
        <v>275313.71999999997</v>
      </c>
      <c r="G26" s="32"/>
      <c r="H26" s="15"/>
      <c r="I26" s="338"/>
      <c r="J26" s="493"/>
      <c r="K26" s="87"/>
      <c r="L26" s="87"/>
      <c r="M26" s="87"/>
      <c r="N26" s="87"/>
    </row>
    <row r="27" spans="1:14" x14ac:dyDescent="0.25">
      <c r="F27" s="264"/>
      <c r="G27" s="32"/>
      <c r="H27" s="15"/>
      <c r="I27" s="87"/>
      <c r="J27" s="493"/>
      <c r="K27" s="87"/>
      <c r="L27" s="87"/>
      <c r="M27" s="87"/>
      <c r="N27" s="87"/>
    </row>
    <row r="28" spans="1:14" x14ac:dyDescent="0.25">
      <c r="A28" s="57">
        <v>37235</v>
      </c>
      <c r="G28" s="32"/>
      <c r="H28" s="15"/>
      <c r="I28" s="87"/>
      <c r="J28" s="493"/>
      <c r="K28" s="87"/>
      <c r="L28" s="87"/>
      <c r="M28" s="87"/>
      <c r="N28" s="87"/>
    </row>
    <row r="29" spans="1:14" x14ac:dyDescent="0.25">
      <c r="A29" s="32">
        <v>9164</v>
      </c>
      <c r="B29" s="212"/>
      <c r="G29" s="32"/>
      <c r="H29" s="15"/>
      <c r="I29" s="87"/>
      <c r="J29" s="493"/>
      <c r="K29" s="87"/>
      <c r="L29" s="87"/>
      <c r="M29" s="87"/>
      <c r="N29" s="87"/>
    </row>
    <row r="30" spans="1:14" x14ac:dyDescent="0.25">
      <c r="A30" s="32">
        <v>9167</v>
      </c>
      <c r="B30" s="212"/>
      <c r="I30" s="87"/>
      <c r="J30" s="493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93"/>
      <c r="K31" s="87"/>
      <c r="L31" s="87"/>
      <c r="M31" s="87"/>
      <c r="N31" s="87"/>
    </row>
    <row r="32" spans="1:14" x14ac:dyDescent="0.25">
      <c r="B32" s="15">
        <f>+summary!H4</f>
        <v>2.02</v>
      </c>
      <c r="C32" s="201">
        <f>+B32*B31</f>
        <v>0</v>
      </c>
    </row>
    <row r="33" spans="1:9" x14ac:dyDescent="0.25">
      <c r="C33" s="332">
        <f>+C32+C26</f>
        <v>275313.71999999997</v>
      </c>
      <c r="E33" s="15"/>
    </row>
    <row r="35" spans="1:9" x14ac:dyDescent="0.25">
      <c r="E35" s="269"/>
    </row>
    <row r="36" spans="1:9" x14ac:dyDescent="0.25">
      <c r="E36" s="15"/>
    </row>
    <row r="37" spans="1:9" x14ac:dyDescent="0.25">
      <c r="A37" s="32" t="s">
        <v>87</v>
      </c>
      <c r="E37" s="32" t="s">
        <v>152</v>
      </c>
      <c r="F37" s="365">
        <v>24268</v>
      </c>
      <c r="G37" s="365">
        <v>24693</v>
      </c>
      <c r="H37" s="365">
        <v>24361</v>
      </c>
    </row>
    <row r="38" spans="1:9" x14ac:dyDescent="0.25">
      <c r="A38" s="32" t="s">
        <v>75</v>
      </c>
      <c r="E38" s="49">
        <f>+A5</f>
        <v>37225</v>
      </c>
      <c r="F38" s="557">
        <v>363548</v>
      </c>
      <c r="G38" s="548">
        <v>117857</v>
      </c>
      <c r="H38" s="557">
        <v>173271</v>
      </c>
      <c r="I38" s="14"/>
    </row>
    <row r="39" spans="1:9" x14ac:dyDescent="0.25">
      <c r="E39" s="49">
        <f>+A7</f>
        <v>37235</v>
      </c>
      <c r="F39" s="363">
        <f>+B18</f>
        <v>19313</v>
      </c>
      <c r="G39" s="363">
        <f>+B31</f>
        <v>0</v>
      </c>
      <c r="H39" s="363">
        <f>+B46</f>
        <v>2164</v>
      </c>
      <c r="I39" s="14"/>
    </row>
    <row r="40" spans="1:9" x14ac:dyDescent="0.25">
      <c r="A40" s="49">
        <v>37225</v>
      </c>
      <c r="C40" s="569">
        <v>811403.49</v>
      </c>
      <c r="F40" s="14">
        <f>+F39+F38</f>
        <v>382861</v>
      </c>
      <c r="G40" s="14">
        <f>+G39+G38</f>
        <v>117857</v>
      </c>
      <c r="H40" s="14">
        <f>+H39+H38</f>
        <v>175435</v>
      </c>
      <c r="I40" s="14">
        <f>+H40+G40+F40</f>
        <v>676153</v>
      </c>
    </row>
    <row r="41" spans="1:9" x14ac:dyDescent="0.25">
      <c r="G41" s="32"/>
      <c r="H41" s="15"/>
      <c r="I41" s="32"/>
    </row>
    <row r="42" spans="1:9" x14ac:dyDescent="0.25">
      <c r="A42" s="247">
        <v>37233</v>
      </c>
      <c r="G42" s="32"/>
    </row>
    <row r="43" spans="1:9" x14ac:dyDescent="0.25">
      <c r="A43" s="251">
        <v>500241</v>
      </c>
      <c r="B43" s="14"/>
      <c r="G43" s="32"/>
    </row>
    <row r="44" spans="1:9" x14ac:dyDescent="0.25">
      <c r="A44" s="32">
        <v>500391</v>
      </c>
      <c r="B44" s="212">
        <v>1815</v>
      </c>
      <c r="G44" s="32"/>
      <c r="H44" s="396"/>
      <c r="I44" s="14"/>
    </row>
    <row r="45" spans="1:9" x14ac:dyDescent="0.25">
      <c r="A45" s="32">
        <v>500392</v>
      </c>
      <c r="B45" s="255">
        <v>349</v>
      </c>
      <c r="G45" s="32"/>
      <c r="H45" s="396"/>
      <c r="I45" s="14"/>
    </row>
    <row r="46" spans="1:9" x14ac:dyDescent="0.25">
      <c r="B46" s="14">
        <f>SUM(B43:B45)</f>
        <v>2164</v>
      </c>
      <c r="G46" s="32"/>
      <c r="H46" s="396"/>
      <c r="I46" s="14"/>
    </row>
    <row r="47" spans="1:9" x14ac:dyDescent="0.25">
      <c r="B47" s="201">
        <f>+summary!H5</f>
        <v>2.04</v>
      </c>
      <c r="C47" s="201">
        <f>+B47*B46</f>
        <v>4414.5600000000004</v>
      </c>
      <c r="H47" s="396"/>
      <c r="I47" s="14"/>
    </row>
    <row r="48" spans="1:9" x14ac:dyDescent="0.25">
      <c r="C48" s="332">
        <f>+C47+C40</f>
        <v>815818.05</v>
      </c>
      <c r="E48" s="206"/>
      <c r="H48" s="396"/>
      <c r="I48" s="14"/>
    </row>
    <row r="49" spans="1:9" x14ac:dyDescent="0.25">
      <c r="E49" s="215"/>
      <c r="H49" s="396"/>
      <c r="I49" s="14"/>
    </row>
    <row r="50" spans="1:9" x14ac:dyDescent="0.25">
      <c r="E50" s="206"/>
      <c r="H50" s="396"/>
      <c r="I50" s="14"/>
    </row>
    <row r="51" spans="1:9" x14ac:dyDescent="0.25">
      <c r="C51" s="320"/>
      <c r="E51" s="215"/>
    </row>
    <row r="52" spans="1:9" x14ac:dyDescent="0.25">
      <c r="A52" s="32" t="s">
        <v>87</v>
      </c>
      <c r="C52" s="252"/>
    </row>
    <row r="53" spans="1:9" x14ac:dyDescent="0.25">
      <c r="A53" s="32">
        <v>21665</v>
      </c>
      <c r="B53" s="15" t="s">
        <v>139</v>
      </c>
      <c r="C53" s="574">
        <v>73445.08</v>
      </c>
      <c r="D53" s="32" t="s">
        <v>120</v>
      </c>
      <c r="E53" s="50"/>
      <c r="H53" s="396">
        <v>21665</v>
      </c>
      <c r="I53" s="14">
        <v>36401</v>
      </c>
    </row>
    <row r="54" spans="1:9" x14ac:dyDescent="0.25">
      <c r="A54" s="32">
        <v>22664</v>
      </c>
      <c r="B54" s="15" t="s">
        <v>139</v>
      </c>
      <c r="C54" s="575">
        <v>23612.35</v>
      </c>
      <c r="D54" s="32" t="s">
        <v>121</v>
      </c>
      <c r="H54" s="396">
        <v>22664</v>
      </c>
      <c r="I54" s="208">
        <v>18932</v>
      </c>
    </row>
    <row r="55" spans="1:9" x14ac:dyDescent="0.25">
      <c r="H55" s="397"/>
      <c r="I55" s="16"/>
    </row>
    <row r="56" spans="1:9" x14ac:dyDescent="0.25">
      <c r="C56" s="438"/>
    </row>
    <row r="57" spans="1:9" x14ac:dyDescent="0.25">
      <c r="C57" s="326">
        <f>+C54+C53+C48+C33+C20</f>
        <v>2724925.6399999997</v>
      </c>
      <c r="I57" s="14">
        <f>SUM(I40:I54)</f>
        <v>731486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C37" sqref="C37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3">
        <v>23995</v>
      </c>
      <c r="C1" s="233"/>
      <c r="D1" s="322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178</v>
      </c>
      <c r="G3" s="6"/>
      <c r="H3" s="115"/>
    </row>
    <row r="4" spans="1:10" x14ac:dyDescent="0.25">
      <c r="A4" s="10">
        <v>1</v>
      </c>
      <c r="B4" s="11"/>
      <c r="C4" s="11"/>
      <c r="D4" s="11">
        <v>24500</v>
      </c>
      <c r="E4" s="11">
        <v>24000</v>
      </c>
      <c r="F4" s="11">
        <f>+E4+C4-D4-B4</f>
        <v>-500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24489</v>
      </c>
      <c r="E5" s="11">
        <v>24000</v>
      </c>
      <c r="F5" s="11">
        <f t="shared" ref="F5:F34" si="0">+E5+C5-D5-B5</f>
        <v>-489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24487</v>
      </c>
      <c r="E6" s="11">
        <v>24000</v>
      </c>
      <c r="F6" s="11">
        <f t="shared" si="0"/>
        <v>-487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24484</v>
      </c>
      <c r="E7" s="11">
        <v>24000</v>
      </c>
      <c r="F7" s="11">
        <f t="shared" si="0"/>
        <v>-484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24523</v>
      </c>
      <c r="E8" s="11">
        <v>24000</v>
      </c>
      <c r="F8" s="11">
        <f t="shared" si="0"/>
        <v>-523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24492</v>
      </c>
      <c r="E9" s="11">
        <v>24000</v>
      </c>
      <c r="F9" s="11">
        <f t="shared" si="0"/>
        <v>-492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24497</v>
      </c>
      <c r="E10" s="11">
        <v>24000</v>
      </c>
      <c r="F10" s="11">
        <f t="shared" si="0"/>
        <v>-497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24506</v>
      </c>
      <c r="E11" s="11">
        <v>20164</v>
      </c>
      <c r="F11" s="11">
        <f t="shared" si="0"/>
        <v>-4342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24485</v>
      </c>
      <c r="E12" s="11">
        <v>24000</v>
      </c>
      <c r="F12" s="11">
        <f t="shared" si="0"/>
        <v>-485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24482</v>
      </c>
      <c r="E13" s="11">
        <v>24000</v>
      </c>
      <c r="F13" s="11">
        <f t="shared" si="0"/>
        <v>-482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152</v>
      </c>
      <c r="I33" s="365">
        <v>23995</v>
      </c>
      <c r="J33" s="365">
        <v>22051</v>
      </c>
      <c r="K33" s="365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37225</v>
      </c>
      <c r="I34" s="557">
        <v>-178485</v>
      </c>
      <c r="J34" s="557">
        <v>-108573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244945</v>
      </c>
      <c r="E35" s="11">
        <f>SUM(E4:E34)</f>
        <v>236164</v>
      </c>
      <c r="F35" s="11">
        <f>SUM(F4:F34)</f>
        <v>-8781</v>
      </c>
      <c r="G35" s="11"/>
      <c r="H35" s="49">
        <f>+A40</f>
        <v>37235</v>
      </c>
      <c r="I35" s="363">
        <f>+C36</f>
        <v>0</v>
      </c>
      <c r="J35" s="363">
        <f>+E36</f>
        <v>-8781</v>
      </c>
      <c r="K35" s="208"/>
      <c r="L35" s="14"/>
    </row>
    <row r="36" spans="1:13" x14ac:dyDescent="0.25">
      <c r="C36" s="25">
        <f>+C35-B35</f>
        <v>0</v>
      </c>
      <c r="E36" s="25">
        <f>+E35-D35</f>
        <v>-8781</v>
      </c>
      <c r="F36" s="25">
        <f>+E36+C36</f>
        <v>-8781</v>
      </c>
      <c r="H36" s="32"/>
      <c r="I36" s="14">
        <f>+I35+I34</f>
        <v>-178485</v>
      </c>
      <c r="J36" s="14">
        <f>+J35+J34</f>
        <v>-117354</v>
      </c>
      <c r="K36" s="14">
        <f>+J36+I36</f>
        <v>-295839</v>
      </c>
      <c r="L36" s="14"/>
    </row>
    <row r="37" spans="1:13" x14ac:dyDescent="0.25">
      <c r="C37" s="324">
        <f>+summary!H5</f>
        <v>2.04</v>
      </c>
      <c r="E37" s="104">
        <f>+C37</f>
        <v>2.04</v>
      </c>
      <c r="F37" s="138">
        <f>+F36*E37</f>
        <v>-17913.240000000002</v>
      </c>
    </row>
    <row r="38" spans="1:13" x14ac:dyDescent="0.25">
      <c r="C38" s="138">
        <f>+C37*C36</f>
        <v>0</v>
      </c>
      <c r="E38" s="136">
        <f>+E37*E36</f>
        <v>-17913.240000000002</v>
      </c>
      <c r="F38" s="138">
        <f>+E38+C38</f>
        <v>-17913.240000000002</v>
      </c>
    </row>
    <row r="39" spans="1:13" x14ac:dyDescent="0.25">
      <c r="A39" s="57">
        <v>37225</v>
      </c>
      <c r="B39" s="2" t="s">
        <v>46</v>
      </c>
      <c r="C39" s="570">
        <v>-1023166.39</v>
      </c>
      <c r="D39" s="331"/>
      <c r="E39" s="556">
        <v>-526596.1</v>
      </c>
      <c r="F39" s="330">
        <f>+E39+C39</f>
        <v>-1549762.49</v>
      </c>
    </row>
    <row r="40" spans="1:13" x14ac:dyDescent="0.25">
      <c r="A40" s="57">
        <v>37235</v>
      </c>
      <c r="B40" s="2" t="s">
        <v>46</v>
      </c>
      <c r="C40" s="325">
        <f>+C39+C38</f>
        <v>-1023166.39</v>
      </c>
      <c r="D40" s="257"/>
      <c r="E40" s="325">
        <f>+E39+E38</f>
        <v>-544509.34</v>
      </c>
      <c r="F40" s="325">
        <f>+E40+C40</f>
        <v>-1567675.73</v>
      </c>
      <c r="H40" s="131"/>
    </row>
    <row r="41" spans="1:13" x14ac:dyDescent="0.25">
      <c r="C41" s="340"/>
      <c r="D41" s="248"/>
      <c r="E41" s="248"/>
      <c r="H41" s="31"/>
    </row>
    <row r="42" spans="1:13" x14ac:dyDescent="0.25">
      <c r="C42" s="248"/>
      <c r="D42" s="248"/>
      <c r="E42" s="248"/>
    </row>
    <row r="43" spans="1:13" x14ac:dyDescent="0.25">
      <c r="C43" s="248"/>
      <c r="D43" s="248"/>
      <c r="E43" s="12" t="s">
        <v>113</v>
      </c>
    </row>
    <row r="44" spans="1:13" x14ac:dyDescent="0.25">
      <c r="C44" s="248"/>
      <c r="D44" s="248"/>
      <c r="E44" s="12">
        <v>22864</v>
      </c>
      <c r="F44" s="509">
        <v>0</v>
      </c>
      <c r="G44" s="252" t="s">
        <v>48</v>
      </c>
      <c r="J44" s="12">
        <v>22864</v>
      </c>
      <c r="K44" s="491"/>
    </row>
    <row r="45" spans="1:13" x14ac:dyDescent="0.25">
      <c r="C45" s="248"/>
      <c r="D45" s="248"/>
      <c r="E45" s="12">
        <v>20379</v>
      </c>
      <c r="F45" s="569">
        <v>-51695.87</v>
      </c>
      <c r="G45" s="252" t="s">
        <v>123</v>
      </c>
      <c r="J45" s="12">
        <v>20379</v>
      </c>
      <c r="K45" s="548">
        <v>2979</v>
      </c>
      <c r="M45" s="14"/>
    </row>
    <row r="46" spans="1:13" x14ac:dyDescent="0.25">
      <c r="C46" s="248"/>
      <c r="D46" s="248"/>
      <c r="E46" s="12">
        <v>26357</v>
      </c>
      <c r="F46" s="568">
        <f>44144.84-58339.66</f>
        <v>-14194.820000000007</v>
      </c>
      <c r="G46" s="252" t="s">
        <v>124</v>
      </c>
      <c r="J46" s="12">
        <v>26357</v>
      </c>
      <c r="K46" s="548">
        <f>26521-24566</f>
        <v>1955</v>
      </c>
    </row>
    <row r="47" spans="1:13" x14ac:dyDescent="0.25">
      <c r="C47" s="248"/>
      <c r="D47" s="248"/>
      <c r="E47" s="12">
        <v>21544</v>
      </c>
      <c r="F47" s="569">
        <v>61340.160000000003</v>
      </c>
      <c r="G47" s="252" t="s">
        <v>125</v>
      </c>
      <c r="J47" s="12">
        <v>21544</v>
      </c>
      <c r="K47" s="548">
        <v>36108</v>
      </c>
    </row>
    <row r="48" spans="1:13" x14ac:dyDescent="0.25">
      <c r="C48" s="248"/>
      <c r="D48" s="248"/>
      <c r="E48" s="12">
        <v>24532</v>
      </c>
      <c r="F48" s="571">
        <v>-1132591.3500000001</v>
      </c>
      <c r="G48" s="252" t="s">
        <v>122</v>
      </c>
      <c r="J48" s="12">
        <v>24532</v>
      </c>
      <c r="K48" s="557">
        <v>-139694</v>
      </c>
    </row>
    <row r="49" spans="3:13" x14ac:dyDescent="0.25">
      <c r="C49" s="248"/>
      <c r="D49" s="248"/>
      <c r="F49" s="341">
        <f>SUM(F40:F48)</f>
        <v>-2704817.6100000003</v>
      </c>
      <c r="G49" s="248"/>
      <c r="K49" s="14">
        <f>SUM(K36:K48)</f>
        <v>-394491</v>
      </c>
    </row>
    <row r="50" spans="3:13" x14ac:dyDescent="0.25">
      <c r="C50" s="248"/>
      <c r="D50" s="248"/>
      <c r="F50" s="248"/>
      <c r="G50" s="248"/>
    </row>
    <row r="51" spans="3:13" x14ac:dyDescent="0.25">
      <c r="E51" s="2" t="s">
        <v>140</v>
      </c>
      <c r="F51" s="138">
        <f>+Duke!C57</f>
        <v>2724925.6399999997</v>
      </c>
      <c r="M51" s="14">
        <f>+Duke!I57</f>
        <v>731486</v>
      </c>
    </row>
    <row r="53" spans="3:13" x14ac:dyDescent="0.25">
      <c r="F53" s="104">
        <f>+F51+F49</f>
        <v>20108.029999999329</v>
      </c>
      <c r="M53" s="16">
        <f>+M51+K49</f>
        <v>336995</v>
      </c>
    </row>
    <row r="59" spans="3:13" x14ac:dyDescent="0.25">
      <c r="H59" s="256"/>
    </row>
    <row r="60" spans="3:13" x14ac:dyDescent="0.25">
      <c r="H60" s="256"/>
    </row>
    <row r="61" spans="3:13" x14ac:dyDescent="0.25">
      <c r="H61" s="256"/>
    </row>
    <row r="62" spans="3:13" x14ac:dyDescent="0.25">
      <c r="H62" s="356"/>
    </row>
    <row r="63" spans="3:13" x14ac:dyDescent="0.25">
      <c r="F63" s="356"/>
    </row>
    <row r="64" spans="3:13" x14ac:dyDescent="0.25">
      <c r="F64" s="356"/>
    </row>
    <row r="68" spans="1:3" x14ac:dyDescent="0.25">
      <c r="A68">
        <v>20379</v>
      </c>
      <c r="B68" s="31">
        <f>+K45</f>
        <v>2979</v>
      </c>
      <c r="C68" s="264">
        <f>+F45</f>
        <v>-51695.87</v>
      </c>
    </row>
    <row r="69" spans="1:3" x14ac:dyDescent="0.25">
      <c r="A69">
        <v>24532</v>
      </c>
      <c r="B69" s="31">
        <f>+K48</f>
        <v>-139694</v>
      </c>
      <c r="C69" s="250">
        <f>+F48</f>
        <v>-1132591.3500000001</v>
      </c>
    </row>
    <row r="70" spans="1:3" x14ac:dyDescent="0.25">
      <c r="A70">
        <v>21544</v>
      </c>
      <c r="B70" s="31">
        <f>+K47</f>
        <v>36108</v>
      </c>
      <c r="C70" s="264">
        <f>+F47</f>
        <v>61340.160000000003</v>
      </c>
    </row>
    <row r="71" spans="1:3" x14ac:dyDescent="0.25">
      <c r="A71">
        <v>26357</v>
      </c>
      <c r="B71" s="31">
        <f>+K46</f>
        <v>1955</v>
      </c>
      <c r="C71" s="264">
        <f>+F46</f>
        <v>-14194.820000000007</v>
      </c>
    </row>
    <row r="72" spans="1:3" x14ac:dyDescent="0.25">
      <c r="A72">
        <v>22864</v>
      </c>
      <c r="B72" s="31">
        <f>+K44</f>
        <v>0</v>
      </c>
      <c r="C72" s="264">
        <f>+F44</f>
        <v>0</v>
      </c>
    </row>
    <row r="73" spans="1:3" x14ac:dyDescent="0.25">
      <c r="A73">
        <v>23995</v>
      </c>
      <c r="B73" s="31">
        <f>+I36</f>
        <v>-178485</v>
      </c>
      <c r="C73" s="250">
        <f>+C40</f>
        <v>-1023166.39</v>
      </c>
    </row>
    <row r="74" spans="1:3" x14ac:dyDescent="0.25">
      <c r="A74">
        <v>22051</v>
      </c>
      <c r="B74" s="31">
        <f>+J36</f>
        <v>-117354</v>
      </c>
      <c r="C74" s="250">
        <f>+E40</f>
        <v>-544509.34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50">
        <f>+Duke!C54</f>
        <v>23612.35</v>
      </c>
    </row>
    <row r="77" spans="1:3" x14ac:dyDescent="0.25">
      <c r="A77">
        <v>24361</v>
      </c>
      <c r="B77">
        <f>+Duke!H40</f>
        <v>175435</v>
      </c>
      <c r="C77" s="264">
        <f>+Duke!C48</f>
        <v>815818.05</v>
      </c>
    </row>
    <row r="78" spans="1:3" x14ac:dyDescent="0.25">
      <c r="A78">
        <v>26393</v>
      </c>
      <c r="B78">
        <f>+Duke!G40</f>
        <v>117857</v>
      </c>
      <c r="C78" s="264">
        <f>+Duke!C33</f>
        <v>275313.71999999997</v>
      </c>
    </row>
    <row r="79" spans="1:3" x14ac:dyDescent="0.25">
      <c r="A79">
        <v>24268</v>
      </c>
      <c r="B79">
        <f>+Duke!F40</f>
        <v>382861</v>
      </c>
      <c r="C79" s="264">
        <f>+Duke!C20</f>
        <v>1536736.44</v>
      </c>
    </row>
    <row r="81" spans="2:3" x14ac:dyDescent="0.25">
      <c r="B81" s="31">
        <f>SUM(B68:B80)</f>
        <v>336995</v>
      </c>
      <c r="C81" s="264">
        <f>SUM(C68:C80)</f>
        <v>20108.029999999795</v>
      </c>
    </row>
    <row r="82" spans="2:3" x14ac:dyDescent="0.25">
      <c r="C82">
        <f>+C81/B81</f>
        <v>5.9668630098368806E-2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J41" sqref="J41"/>
    </sheetView>
  </sheetViews>
  <sheetFormatPr defaultRowHeight="13.2" x14ac:dyDescent="0.25"/>
  <cols>
    <col min="4" max="4" width="11.6640625" customWidth="1"/>
    <col min="6" max="6" width="9.109375" style="248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71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519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520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5948</v>
      </c>
      <c r="C10" s="11">
        <v>5488</v>
      </c>
      <c r="D10" s="11"/>
      <c r="E10" s="11"/>
      <c r="F10" s="129">
        <v>1055</v>
      </c>
      <c r="G10" s="11">
        <v>1011</v>
      </c>
      <c r="H10" s="11">
        <v>1908</v>
      </c>
      <c r="I10" s="11">
        <v>1414</v>
      </c>
      <c r="J10" s="25">
        <f t="shared" si="0"/>
        <v>-998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6198</v>
      </c>
      <c r="C11" s="11">
        <v>5488</v>
      </c>
      <c r="D11" s="11"/>
      <c r="E11" s="11"/>
      <c r="F11" s="129">
        <v>1045</v>
      </c>
      <c r="G11" s="11">
        <v>856</v>
      </c>
      <c r="H11" s="11">
        <v>1668</v>
      </c>
      <c r="I11" s="11">
        <v>1414</v>
      </c>
      <c r="J11" s="25">
        <f t="shared" si="0"/>
        <v>-1153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6168</v>
      </c>
      <c r="C12" s="11">
        <v>5488</v>
      </c>
      <c r="D12" s="11"/>
      <c r="E12" s="11"/>
      <c r="F12" s="129">
        <v>607</v>
      </c>
      <c r="G12" s="11">
        <v>1011</v>
      </c>
      <c r="H12" s="11">
        <v>1539</v>
      </c>
      <c r="I12" s="11">
        <v>1414</v>
      </c>
      <c r="J12" s="25">
        <f t="shared" si="0"/>
        <v>-401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6277</v>
      </c>
      <c r="C13" s="11">
        <v>5488</v>
      </c>
      <c r="D13" s="11">
        <v>898</v>
      </c>
      <c r="E13" s="11"/>
      <c r="F13" s="129">
        <v>978</v>
      </c>
      <c r="G13" s="11">
        <v>1011</v>
      </c>
      <c r="H13" s="11">
        <v>1481</v>
      </c>
      <c r="I13" s="11">
        <v>1414</v>
      </c>
      <c r="J13" s="25">
        <f t="shared" si="0"/>
        <v>-1721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6183</v>
      </c>
      <c r="C14" s="11">
        <v>5488</v>
      </c>
      <c r="D14" s="11">
        <v>2419</v>
      </c>
      <c r="E14" s="11"/>
      <c r="F14" s="129">
        <v>1079</v>
      </c>
      <c r="G14" s="11">
        <v>506</v>
      </c>
      <c r="H14" s="11">
        <v>1419</v>
      </c>
      <c r="I14" s="129">
        <v>1414</v>
      </c>
      <c r="J14" s="25">
        <f t="shared" si="0"/>
        <v>-3692</v>
      </c>
      <c r="K14" s="10"/>
      <c r="L14" s="11"/>
      <c r="M14" s="11"/>
      <c r="N14" s="11"/>
      <c r="O14" s="11"/>
      <c r="P14" s="11"/>
      <c r="Q14" s="11"/>
      <c r="R14" s="123"/>
      <c r="S14" s="286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6277</v>
      </c>
      <c r="C15" s="11">
        <v>5488</v>
      </c>
      <c r="D15" s="11">
        <v>2312</v>
      </c>
      <c r="E15" s="11">
        <v>1000</v>
      </c>
      <c r="F15" s="129">
        <v>1035</v>
      </c>
      <c r="G15" s="11">
        <v>1007</v>
      </c>
      <c r="H15" s="11">
        <v>1405</v>
      </c>
      <c r="I15" s="11">
        <v>1414</v>
      </c>
      <c r="J15" s="25">
        <f t="shared" si="0"/>
        <v>-2120</v>
      </c>
      <c r="K15" s="10"/>
      <c r="L15" s="11"/>
      <c r="M15" s="11"/>
      <c r="N15" s="11"/>
      <c r="O15" s="11"/>
      <c r="P15" s="11"/>
      <c r="Q15" s="11"/>
      <c r="R15" s="123"/>
      <c r="S15" s="286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6323</v>
      </c>
      <c r="C16" s="11">
        <v>5488</v>
      </c>
      <c r="D16" s="11">
        <v>2355</v>
      </c>
      <c r="E16" s="11">
        <v>1000</v>
      </c>
      <c r="F16" s="129">
        <v>1015</v>
      </c>
      <c r="G16" s="11">
        <v>1011</v>
      </c>
      <c r="H16" s="11">
        <v>1492</v>
      </c>
      <c r="I16" s="11">
        <v>1414</v>
      </c>
      <c r="J16" s="25">
        <f t="shared" si="0"/>
        <v>-2272</v>
      </c>
      <c r="K16" s="10"/>
      <c r="L16" s="11"/>
      <c r="M16" s="11"/>
      <c r="N16" s="11"/>
      <c r="O16" s="11"/>
      <c r="P16" s="11"/>
      <c r="Q16" s="11"/>
      <c r="R16" s="123"/>
      <c r="S16" s="286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3536</v>
      </c>
      <c r="C17" s="11">
        <v>5488</v>
      </c>
      <c r="D17" s="11">
        <v>2271</v>
      </c>
      <c r="E17" s="11">
        <v>1000</v>
      </c>
      <c r="F17" s="129">
        <v>871</v>
      </c>
      <c r="G17" s="11">
        <v>1011</v>
      </c>
      <c r="H17" s="11">
        <v>1559</v>
      </c>
      <c r="I17" s="11">
        <v>1414</v>
      </c>
      <c r="J17" s="25">
        <f t="shared" si="0"/>
        <v>676</v>
      </c>
      <c r="K17" s="10"/>
      <c r="L17" s="11"/>
      <c r="M17" s="11"/>
      <c r="N17" s="11"/>
      <c r="O17" s="11"/>
      <c r="P17" s="11"/>
      <c r="Q17" s="11"/>
      <c r="R17" s="123"/>
      <c r="S17" s="286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1415</v>
      </c>
      <c r="C18" s="11">
        <v>5488</v>
      </c>
      <c r="D18" s="11">
        <v>2181</v>
      </c>
      <c r="E18" s="11">
        <v>1000</v>
      </c>
      <c r="F18" s="129">
        <v>1020</v>
      </c>
      <c r="G18" s="11">
        <v>1011</v>
      </c>
      <c r="H18" s="11">
        <v>1457</v>
      </c>
      <c r="I18" s="11">
        <v>1414</v>
      </c>
      <c r="J18" s="25">
        <f t="shared" si="0"/>
        <v>2840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61140</v>
      </c>
      <c r="C39" s="11">
        <f t="shared" si="1"/>
        <v>60368</v>
      </c>
      <c r="D39" s="11">
        <f t="shared" si="1"/>
        <v>12436</v>
      </c>
      <c r="E39" s="11">
        <f t="shared" si="1"/>
        <v>4000</v>
      </c>
      <c r="F39" s="129">
        <f t="shared" si="1"/>
        <v>10730</v>
      </c>
      <c r="G39" s="11">
        <f t="shared" si="1"/>
        <v>10457</v>
      </c>
      <c r="H39" s="11">
        <f t="shared" si="1"/>
        <v>16396</v>
      </c>
      <c r="I39" s="11">
        <f t="shared" si="1"/>
        <v>15554</v>
      </c>
      <c r="J39" s="25">
        <f t="shared" si="1"/>
        <v>-10323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8">
        <f>+summary!H4</f>
        <v>2.02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-20852.46</v>
      </c>
      <c r="L41"/>
      <c r="R41" s="138"/>
      <c r="X41" s="138"/>
    </row>
    <row r="42" spans="1:24" x14ac:dyDescent="0.25">
      <c r="A42" s="57">
        <v>37225</v>
      </c>
      <c r="C42" s="15"/>
      <c r="J42" s="567">
        <v>423166.07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37236</v>
      </c>
      <c r="C43" s="48"/>
      <c r="J43" s="138">
        <f>+J42+J41</f>
        <v>402313.61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152</v>
      </c>
      <c r="B46" s="32"/>
      <c r="C46" s="32"/>
      <c r="D46" s="32"/>
      <c r="L46"/>
    </row>
    <row r="47" spans="1:24" x14ac:dyDescent="0.25">
      <c r="A47" s="49">
        <f>+A42</f>
        <v>37225</v>
      </c>
      <c r="B47" s="32"/>
      <c r="C47" s="32"/>
      <c r="D47" s="557">
        <v>174196</v>
      </c>
      <c r="L47"/>
    </row>
    <row r="48" spans="1:24" x14ac:dyDescent="0.25">
      <c r="A48" s="49">
        <f>+A43</f>
        <v>37236</v>
      </c>
      <c r="B48" s="32"/>
      <c r="C48" s="32"/>
      <c r="D48" s="363">
        <f>+J39</f>
        <v>-10323</v>
      </c>
      <c r="L48"/>
    </row>
    <row r="49" spans="1:12" x14ac:dyDescent="0.25">
      <c r="A49" s="32"/>
      <c r="B49" s="32"/>
      <c r="C49" s="32"/>
      <c r="D49" s="14">
        <f>+D48+D47</f>
        <v>163873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topLeftCell="A37" workbookViewId="0">
      <selection activeCell="C10" sqref="C10"/>
    </sheetView>
  </sheetViews>
  <sheetFormatPr defaultRowHeight="13.2" x14ac:dyDescent="0.25"/>
  <cols>
    <col min="1" max="1" width="25.88671875" style="292" customWidth="1"/>
    <col min="2" max="2" width="11.109375" style="250" bestFit="1" customWidth="1"/>
    <col min="3" max="3" width="9.6640625" style="293" customWidth="1"/>
    <col min="4" max="4" width="5.109375" style="7" customWidth="1"/>
    <col min="5" max="5" width="11.109375" bestFit="1" customWidth="1"/>
    <col min="6" max="6" width="12.88671875" bestFit="1" customWidth="1"/>
    <col min="9" max="9" width="11.33203125" bestFit="1" customWidth="1"/>
    <col min="10" max="10" width="8.44140625" customWidth="1"/>
    <col min="11" max="11" width="5.109375" customWidth="1"/>
    <col min="13" max="13" width="9.88671875" style="528" bestFit="1" customWidth="1"/>
    <col min="14" max="14" width="9" style="64" bestFit="1" customWidth="1"/>
  </cols>
  <sheetData>
    <row r="2" spans="1:32" ht="20.100000000000001" customHeight="1" x14ac:dyDescent="0.25">
      <c r="A2" s="354" t="s">
        <v>142</v>
      </c>
      <c r="G2" s="378" t="s">
        <v>79</v>
      </c>
      <c r="H2" s="358"/>
    </row>
    <row r="3" spans="1:32" ht="15" customHeight="1" x14ac:dyDescent="0.25">
      <c r="G3" s="296" t="s">
        <v>30</v>
      </c>
      <c r="H3" s="357">
        <f>+'[2]1001'!$K$39</f>
        <v>1.99</v>
      </c>
      <c r="I3" s="389">
        <f ca="1">NOW()</f>
        <v>37238.475770486111</v>
      </c>
    </row>
    <row r="4" spans="1:32" ht="15" customHeight="1" x14ac:dyDescent="0.25">
      <c r="A4" s="34" t="s">
        <v>148</v>
      </c>
      <c r="C4" s="34" t="s">
        <v>5</v>
      </c>
      <c r="G4" s="297" t="s">
        <v>31</v>
      </c>
      <c r="H4" s="298">
        <f>+'[2]1001'!$M$39</f>
        <v>2.02</v>
      </c>
    </row>
    <row r="5" spans="1:32" ht="15" customHeight="1" x14ac:dyDescent="0.25">
      <c r="B5" s="356"/>
      <c r="G5" s="296" t="s">
        <v>118</v>
      </c>
      <c r="H5" s="357">
        <f>+'[2]1001'!$E$39</f>
        <v>2.04</v>
      </c>
    </row>
    <row r="6" spans="1:32" ht="12" customHeight="1" x14ac:dyDescent="0.25">
      <c r="C6" s="458"/>
    </row>
    <row r="7" spans="1:32" ht="15" customHeight="1" x14ac:dyDescent="0.25">
      <c r="A7" s="346" t="s">
        <v>90</v>
      </c>
      <c r="B7" s="347" t="s">
        <v>17</v>
      </c>
      <c r="C7" s="348" t="s">
        <v>0</v>
      </c>
      <c r="D7" s="5" t="s">
        <v>149</v>
      </c>
      <c r="E7" s="346" t="s">
        <v>91</v>
      </c>
      <c r="F7" s="349" t="s">
        <v>102</v>
      </c>
      <c r="G7" s="346" t="s">
        <v>99</v>
      </c>
    </row>
    <row r="8" spans="1:32" ht="15" customHeight="1" x14ac:dyDescent="0.25">
      <c r="A8" s="206" t="s">
        <v>263</v>
      </c>
      <c r="B8" s="540">
        <f>+Duke!$C$20</f>
        <v>1536736.44</v>
      </c>
      <c r="C8" s="208">
        <f>+B8/$H$5</f>
        <v>753302.17647058819</v>
      </c>
      <c r="D8" s="379">
        <f>+Duke!A7</f>
        <v>37235</v>
      </c>
      <c r="E8" s="206" t="s">
        <v>86</v>
      </c>
      <c r="F8" s="206" t="s">
        <v>101</v>
      </c>
      <c r="G8" s="206" t="s">
        <v>327</v>
      </c>
      <c r="H8" s="70"/>
      <c r="I8" s="47"/>
      <c r="J8" s="32"/>
      <c r="K8" s="32"/>
      <c r="L8" s="32"/>
      <c r="M8" s="395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206" t="s">
        <v>270</v>
      </c>
      <c r="B9" s="540">
        <f>+Duke!$C$54+Duke!$C$53+Duke!$C$48+Duke!$C$33</f>
        <v>1188189.2</v>
      </c>
      <c r="C9" s="208">
        <f>+B9/$H$5</f>
        <v>582445.68627450976</v>
      </c>
      <c r="D9" s="379">
        <f>+DEFS!A40</f>
        <v>37235</v>
      </c>
      <c r="E9" s="206" t="s">
        <v>86</v>
      </c>
      <c r="F9" s="206" t="s">
        <v>101</v>
      </c>
      <c r="G9" s="206" t="s">
        <v>329</v>
      </c>
      <c r="H9" s="32"/>
      <c r="I9" s="47"/>
      <c r="J9" s="32"/>
      <c r="K9" s="32"/>
      <c r="L9" s="32"/>
      <c r="M9" s="395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525" t="s">
        <v>88</v>
      </c>
      <c r="B10" s="540">
        <f>+NNG!$D$24</f>
        <v>701953.12000000011</v>
      </c>
      <c r="C10" s="282">
        <f t="shared" ref="C10:C16" si="0">+B10/$H$4</f>
        <v>347501.5445544555</v>
      </c>
      <c r="D10" s="379">
        <f>+NNG!A24</f>
        <v>37236</v>
      </c>
      <c r="E10" s="206" t="s">
        <v>86</v>
      </c>
      <c r="F10" s="206" t="s">
        <v>101</v>
      </c>
      <c r="G10" s="32"/>
      <c r="H10" s="32"/>
      <c r="I10" s="32"/>
      <c r="J10" s="32"/>
      <c r="K10" s="32"/>
      <c r="L10" s="32"/>
      <c r="M10" s="395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526" t="s">
        <v>83</v>
      </c>
      <c r="B11" s="540">
        <f>+PNM!$D$23</f>
        <v>562028.73</v>
      </c>
      <c r="C11" s="282">
        <f t="shared" si="0"/>
        <v>278232.04455445544</v>
      </c>
      <c r="D11" s="380">
        <f>+PNM!A23</f>
        <v>37236</v>
      </c>
      <c r="E11" s="32" t="s">
        <v>86</v>
      </c>
      <c r="F11" s="32" t="s">
        <v>116</v>
      </c>
      <c r="G11" s="32"/>
      <c r="H11" s="32"/>
      <c r="I11" s="32"/>
      <c r="J11" s="32"/>
      <c r="K11" s="32"/>
      <c r="L11" s="32"/>
      <c r="M11" s="395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526" t="s">
        <v>2</v>
      </c>
      <c r="B12" s="540">
        <f>+mewborne!$J$43</f>
        <v>402313.61</v>
      </c>
      <c r="C12" s="282">
        <f t="shared" si="0"/>
        <v>199165.15346534652</v>
      </c>
      <c r="D12" s="380">
        <f>+mewborne!A43</f>
        <v>37236</v>
      </c>
      <c r="E12" s="32" t="s">
        <v>86</v>
      </c>
      <c r="F12" s="32" t="s">
        <v>100</v>
      </c>
      <c r="G12" s="32"/>
      <c r="H12" s="32"/>
      <c r="I12" s="32"/>
      <c r="J12" s="32"/>
      <c r="K12" s="32"/>
      <c r="L12" s="32"/>
      <c r="M12" s="395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526" t="s">
        <v>108</v>
      </c>
      <c r="B13" s="540">
        <f>+KN_Westar!F41</f>
        <v>385282.96</v>
      </c>
      <c r="C13" s="282">
        <f t="shared" si="0"/>
        <v>190734.1386138614</v>
      </c>
      <c r="D13" s="380">
        <f>+KN_Westar!A41</f>
        <v>37225</v>
      </c>
      <c r="E13" s="32" t="s">
        <v>86</v>
      </c>
      <c r="F13" s="32" t="s">
        <v>101</v>
      </c>
      <c r="G13" s="32"/>
      <c r="H13" s="32"/>
      <c r="I13" s="32"/>
      <c r="J13" s="32"/>
      <c r="K13" s="32"/>
      <c r="L13" s="32"/>
      <c r="M13" s="395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526" t="s">
        <v>95</v>
      </c>
      <c r="B14" s="540">
        <f>+C14*$H$4</f>
        <v>364028.24</v>
      </c>
      <c r="C14" s="282">
        <f>+Mojave!D40</f>
        <v>180212</v>
      </c>
      <c r="D14" s="380">
        <f>+Mojave!A40</f>
        <v>37235</v>
      </c>
      <c r="E14" s="32" t="s">
        <v>85</v>
      </c>
      <c r="F14" s="32" t="s">
        <v>101</v>
      </c>
      <c r="G14" s="32"/>
      <c r="H14" s="32"/>
      <c r="I14" s="32"/>
      <c r="J14" s="32"/>
      <c r="K14" s="32"/>
      <c r="L14" s="32"/>
      <c r="M14" s="395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5">
      <c r="A15" s="526" t="s">
        <v>81</v>
      </c>
      <c r="B15" s="540">
        <f>+Conoco!$F$41</f>
        <v>356383.29</v>
      </c>
      <c r="C15" s="282">
        <f t="shared" si="0"/>
        <v>176427.37128712871</v>
      </c>
      <c r="D15" s="379">
        <f>+Conoco!A41</f>
        <v>37236</v>
      </c>
      <c r="E15" s="32" t="s">
        <v>86</v>
      </c>
      <c r="F15" s="32" t="s">
        <v>114</v>
      </c>
      <c r="G15" s="32" t="s">
        <v>145</v>
      </c>
      <c r="H15" s="32"/>
      <c r="I15" s="32"/>
      <c r="J15" s="32"/>
      <c r="K15" s="32"/>
      <c r="L15" s="32"/>
      <c r="M15" s="395"/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526" t="s">
        <v>3</v>
      </c>
      <c r="B16" s="540">
        <f>+'Amoco Abo'!$F$43</f>
        <v>355094.32</v>
      </c>
      <c r="C16" s="282">
        <f t="shared" si="0"/>
        <v>175789.26732673266</v>
      </c>
      <c r="D16" s="380">
        <f>+'Amoco Abo'!A43</f>
        <v>37236</v>
      </c>
      <c r="E16" s="32" t="s">
        <v>86</v>
      </c>
      <c r="F16" s="32" t="s">
        <v>116</v>
      </c>
      <c r="G16" s="32"/>
      <c r="H16" s="32"/>
      <c r="I16" s="32"/>
      <c r="J16" s="32"/>
      <c r="K16" s="32"/>
      <c r="L16" s="32"/>
      <c r="M16" s="395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525" t="s">
        <v>33</v>
      </c>
      <c r="B17" s="540">
        <f>+C17*$H$4</f>
        <v>318053.03999999998</v>
      </c>
      <c r="C17" s="208">
        <f>+SoCal!F40</f>
        <v>157452</v>
      </c>
      <c r="D17" s="379">
        <f>+SoCal!A40</f>
        <v>37236</v>
      </c>
      <c r="E17" s="206" t="s">
        <v>85</v>
      </c>
      <c r="F17" s="206" t="s">
        <v>103</v>
      </c>
      <c r="G17" s="32"/>
      <c r="H17" s="32"/>
      <c r="I17" s="32"/>
      <c r="J17" s="32"/>
      <c r="K17" s="32"/>
      <c r="L17" s="32"/>
      <c r="M17" s="395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526" t="s">
        <v>89</v>
      </c>
      <c r="B18" s="540">
        <f>+C18*$H$5</f>
        <v>242531.52000000002</v>
      </c>
      <c r="C18" s="282">
        <f>+NGPL!F38</f>
        <v>118888</v>
      </c>
      <c r="D18" s="380">
        <f>+NGPL!A38</f>
        <v>37236</v>
      </c>
      <c r="E18" s="206" t="s">
        <v>85</v>
      </c>
      <c r="F18" s="32" t="s">
        <v>116</v>
      </c>
      <c r="G18" s="32"/>
      <c r="H18" s="32"/>
      <c r="I18" s="32"/>
      <c r="J18" s="32"/>
      <c r="K18" s="32"/>
      <c r="L18" s="32"/>
      <c r="M18" s="395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526" t="s">
        <v>220</v>
      </c>
      <c r="B19" s="540">
        <f>+Dominion!D41</f>
        <v>176714.27000000002</v>
      </c>
      <c r="C19" s="282">
        <f>+B19/$H$5</f>
        <v>86624.642156862756</v>
      </c>
      <c r="D19" s="380">
        <f>+Dominion!A41</f>
        <v>37235</v>
      </c>
      <c r="E19" s="32" t="s">
        <v>86</v>
      </c>
      <c r="F19" s="32" t="s">
        <v>100</v>
      </c>
      <c r="G19" s="32"/>
      <c r="H19" s="32"/>
      <c r="I19" s="32"/>
      <c r="J19" s="32"/>
      <c r="K19" s="32"/>
      <c r="L19" s="32"/>
      <c r="M19" s="395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526" t="s">
        <v>115</v>
      </c>
      <c r="B20" s="540">
        <f>+C20*$H$4</f>
        <v>165694.54</v>
      </c>
      <c r="C20" s="208">
        <f>+'PG&amp;E'!D40</f>
        <v>82027</v>
      </c>
      <c r="D20" s="380">
        <f>+'PG&amp;E'!A40</f>
        <v>37236</v>
      </c>
      <c r="E20" s="32" t="s">
        <v>85</v>
      </c>
      <c r="F20" s="32" t="s">
        <v>103</v>
      </c>
      <c r="G20" s="32"/>
      <c r="H20" s="32"/>
      <c r="I20" s="32"/>
      <c r="J20" s="32"/>
      <c r="K20" s="32"/>
      <c r="L20" s="32"/>
      <c r="M20" s="395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527" t="s">
        <v>80</v>
      </c>
      <c r="B21" s="539">
        <f>+Agave!$D$24</f>
        <v>164444.78</v>
      </c>
      <c r="C21" s="518">
        <f>+B21/$H$4</f>
        <v>81408.30693069307</v>
      </c>
      <c r="D21" s="517">
        <f>+Agave!A24</f>
        <v>37236</v>
      </c>
      <c r="E21" s="480" t="s">
        <v>86</v>
      </c>
      <c r="F21" s="480" t="s">
        <v>103</v>
      </c>
      <c r="G21" s="480"/>
      <c r="H21" s="32"/>
      <c r="I21" s="32"/>
      <c r="J21" s="32"/>
      <c r="K21" s="32"/>
      <c r="L21" s="32" t="s">
        <v>257</v>
      </c>
      <c r="M21" s="395">
        <v>23995</v>
      </c>
      <c r="N21" s="70">
        <v>-1023166</v>
      </c>
      <c r="O21" s="32" t="s">
        <v>259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526" t="s">
        <v>24</v>
      </c>
      <c r="B22" s="543">
        <f>+C22*$H$3</f>
        <v>164264.54999999999</v>
      </c>
      <c r="C22" s="361">
        <f>+'Red C'!F43</f>
        <v>82545</v>
      </c>
      <c r="D22" s="379">
        <f>+'Red C'!B43</f>
        <v>37236</v>
      </c>
      <c r="E22" s="206" t="s">
        <v>85</v>
      </c>
      <c r="F22" s="32" t="s">
        <v>116</v>
      </c>
      <c r="G22" s="32"/>
      <c r="H22" s="32"/>
      <c r="I22" s="32"/>
      <c r="J22" s="32"/>
      <c r="K22" s="32"/>
      <c r="L22" s="32" t="s">
        <v>257</v>
      </c>
      <c r="M22" s="395">
        <v>22051</v>
      </c>
      <c r="N22" s="70">
        <v>-527215</v>
      </c>
      <c r="O22" s="32" t="s">
        <v>260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526" t="s">
        <v>223</v>
      </c>
      <c r="B23" s="540">
        <f>+Devon!D41</f>
        <v>147908.97</v>
      </c>
      <c r="C23" s="282">
        <f>+B23/$H$5</f>
        <v>72504.397058823524</v>
      </c>
      <c r="D23" s="380">
        <f>+Devon!A41</f>
        <v>37235</v>
      </c>
      <c r="E23" s="32" t="s">
        <v>86</v>
      </c>
      <c r="F23" s="32" t="s">
        <v>100</v>
      </c>
      <c r="G23" s="32"/>
      <c r="H23" s="32"/>
      <c r="I23" s="32"/>
      <c r="J23" s="32"/>
      <c r="K23" s="32"/>
      <c r="L23" s="32" t="s">
        <v>257</v>
      </c>
      <c r="M23" s="395">
        <v>22864</v>
      </c>
      <c r="N23" s="70">
        <v>-58339.66</v>
      </c>
      <c r="O23" s="32" t="s">
        <v>261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" customHeight="1" x14ac:dyDescent="0.25">
      <c r="A24" s="526" t="s">
        <v>231</v>
      </c>
      <c r="B24" s="540">
        <f>+Amarillo!P41</f>
        <v>112382.84</v>
      </c>
      <c r="C24" s="282">
        <f>+B24/$H$4</f>
        <v>55635.069306930694</v>
      </c>
      <c r="D24" s="380">
        <f>+Amarillo!A41</f>
        <v>37235</v>
      </c>
      <c r="E24" s="32" t="s">
        <v>86</v>
      </c>
      <c r="F24" s="32" t="s">
        <v>114</v>
      </c>
      <c r="G24" s="32"/>
      <c r="H24" s="32"/>
      <c r="I24" s="32"/>
      <c r="J24" s="32"/>
      <c r="K24" s="32"/>
      <c r="L24" s="32" t="s">
        <v>257</v>
      </c>
      <c r="M24" s="395">
        <v>20379</v>
      </c>
      <c r="N24" s="70">
        <v>-51695.87</v>
      </c>
      <c r="O24" s="32" t="s">
        <v>261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5">
      <c r="A25" s="525" t="s">
        <v>129</v>
      </c>
      <c r="B25" s="540">
        <f>+Calpine!D41</f>
        <v>93714.12</v>
      </c>
      <c r="C25" s="208">
        <f>+B25/$H$4</f>
        <v>46393.128712871287</v>
      </c>
      <c r="D25" s="379">
        <f>+Calpine!A41</f>
        <v>37236</v>
      </c>
      <c r="E25" s="206" t="s">
        <v>86</v>
      </c>
      <c r="F25" s="206" t="s">
        <v>100</v>
      </c>
      <c r="G25" s="206"/>
      <c r="H25" s="32"/>
      <c r="I25" s="32"/>
      <c r="J25" s="32"/>
      <c r="K25" s="32"/>
      <c r="L25" s="32" t="s">
        <v>257</v>
      </c>
      <c r="M25" s="395">
        <v>26357</v>
      </c>
      <c r="N25" s="70">
        <v>44144.84</v>
      </c>
      <c r="O25" s="32" t="s">
        <v>261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206" t="s">
        <v>34</v>
      </c>
      <c r="B26" s="540">
        <f>+'El Paso'!C39*summary!H4+'El Paso'!E39*summary!H3</f>
        <v>68649.680000000008</v>
      </c>
      <c r="C26" s="282">
        <f>+'El Paso'!H39</f>
        <v>33530</v>
      </c>
      <c r="D26" s="379">
        <f>+'El Paso'!A39</f>
        <v>37235</v>
      </c>
      <c r="E26" s="206" t="s">
        <v>85</v>
      </c>
      <c r="F26" s="206" t="s">
        <v>101</v>
      </c>
      <c r="G26" s="206"/>
      <c r="H26" s="32"/>
      <c r="I26" s="32"/>
      <c r="J26" s="32"/>
      <c r="K26" s="32"/>
      <c r="L26" s="32" t="s">
        <v>257</v>
      </c>
      <c r="M26" s="395">
        <v>21544</v>
      </c>
      <c r="N26" s="70">
        <v>61340.160000000003</v>
      </c>
      <c r="O26" s="32" t="s">
        <v>261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300" customFormat="1" ht="12.9" customHeight="1" x14ac:dyDescent="0.25">
      <c r="A27" s="525" t="s">
        <v>141</v>
      </c>
      <c r="B27" s="540">
        <f>+'Citizens-Griffith'!D41</f>
        <v>66541.960000000006</v>
      </c>
      <c r="C27" s="282">
        <f>+B27/$H$4</f>
        <v>32941.564356435643</v>
      </c>
      <c r="D27" s="379">
        <f>+'Citizens-Griffith'!A41</f>
        <v>37235</v>
      </c>
      <c r="E27" s="206" t="s">
        <v>86</v>
      </c>
      <c r="F27" s="206" t="s">
        <v>100</v>
      </c>
      <c r="G27" s="206"/>
      <c r="H27" s="206"/>
      <c r="I27" s="206"/>
      <c r="J27" s="206"/>
      <c r="K27" s="206"/>
      <c r="L27" s="32" t="s">
        <v>257</v>
      </c>
      <c r="M27" s="529">
        <v>24532</v>
      </c>
      <c r="N27" s="280">
        <v>-956477</v>
      </c>
      <c r="O27" s="280">
        <f>SUM(N21:N27)</f>
        <v>-2511408.5300000003</v>
      </c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</row>
    <row r="28" spans="1:32" s="300" customFormat="1" ht="13.5" customHeight="1" x14ac:dyDescent="0.25">
      <c r="A28" s="526" t="s">
        <v>131</v>
      </c>
      <c r="B28" s="540">
        <f>+EPFS!D41</f>
        <v>64780.91</v>
      </c>
      <c r="C28" s="208">
        <f>+B28/$H$5</f>
        <v>31755.348039215689</v>
      </c>
      <c r="D28" s="379">
        <f>+EPFS!A41</f>
        <v>37235</v>
      </c>
      <c r="E28" s="32" t="s">
        <v>86</v>
      </c>
      <c r="F28" s="32" t="s">
        <v>103</v>
      </c>
      <c r="G28" s="32"/>
      <c r="H28" s="206"/>
      <c r="I28" s="206"/>
      <c r="J28" s="206"/>
      <c r="K28" s="206"/>
      <c r="L28" s="206" t="s">
        <v>256</v>
      </c>
      <c r="M28" s="529">
        <v>24268</v>
      </c>
      <c r="N28" s="280">
        <v>1481856.66</v>
      </c>
      <c r="O28" s="280">
        <f>+N28</f>
        <v>1481856.66</v>
      </c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</row>
    <row r="29" spans="1:32" s="300" customFormat="1" ht="13.5" customHeight="1" x14ac:dyDescent="0.25">
      <c r="A29" s="526" t="s">
        <v>133</v>
      </c>
      <c r="B29" s="540">
        <f>+SidR!D41</f>
        <v>55578.31</v>
      </c>
      <c r="C29" s="282">
        <f>+B29/$H$5</f>
        <v>27244.269607843136</v>
      </c>
      <c r="D29" s="380">
        <f>+SidR!A41</f>
        <v>37236</v>
      </c>
      <c r="E29" s="32" t="s">
        <v>86</v>
      </c>
      <c r="F29" s="32" t="s">
        <v>103</v>
      </c>
      <c r="G29" s="32"/>
      <c r="H29" s="206"/>
      <c r="I29" s="206"/>
      <c r="J29" s="206"/>
      <c r="K29" s="206"/>
      <c r="L29" s="206"/>
      <c r="M29" s="529"/>
      <c r="N29" s="280"/>
      <c r="O29" s="280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</row>
    <row r="30" spans="1:32" s="300" customFormat="1" ht="13.5" customHeight="1" x14ac:dyDescent="0.25">
      <c r="A30" s="526" t="s">
        <v>111</v>
      </c>
      <c r="B30" s="540">
        <f>+C30*$H$4</f>
        <v>33628.959999999999</v>
      </c>
      <c r="C30" s="282">
        <f>+CIG!D42</f>
        <v>16648</v>
      </c>
      <c r="D30" s="380">
        <f>+CIG!A42</f>
        <v>37235</v>
      </c>
      <c r="E30" s="206" t="s">
        <v>85</v>
      </c>
      <c r="F30" s="32" t="s">
        <v>114</v>
      </c>
      <c r="G30" s="32"/>
      <c r="H30" s="206"/>
      <c r="I30" s="206"/>
      <c r="J30" s="206"/>
      <c r="K30" s="206"/>
      <c r="L30" s="206"/>
      <c r="M30" s="529"/>
      <c r="N30" s="280"/>
      <c r="O30" s="280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</row>
    <row r="31" spans="1:32" s="300" customFormat="1" ht="13.5" customHeight="1" x14ac:dyDescent="0.25">
      <c r="A31" s="526" t="s">
        <v>320</v>
      </c>
      <c r="B31" s="540">
        <f>+'WTG inc'!N43</f>
        <v>33110.450000000004</v>
      </c>
      <c r="C31" s="282">
        <f>+B31/$H$4</f>
        <v>16391.311881188121</v>
      </c>
      <c r="D31" s="380">
        <f>+SidR!A40</f>
        <v>37225</v>
      </c>
      <c r="E31" s="32" t="s">
        <v>86</v>
      </c>
      <c r="F31" s="32" t="s">
        <v>103</v>
      </c>
      <c r="G31" s="206"/>
      <c r="H31" s="206"/>
      <c r="I31" s="206"/>
      <c r="J31" s="206"/>
      <c r="K31" s="206"/>
      <c r="L31" s="206"/>
      <c r="M31" s="529"/>
      <c r="N31" s="280"/>
      <c r="O31" s="280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</row>
    <row r="32" spans="1:32" s="248" customFormat="1" ht="13.5" customHeight="1" x14ac:dyDescent="0.25">
      <c r="A32" s="526" t="s">
        <v>1</v>
      </c>
      <c r="B32" s="540">
        <f>+C32*$H$3</f>
        <v>31869.85</v>
      </c>
      <c r="C32" s="208">
        <f>+NW!$F$41</f>
        <v>16015</v>
      </c>
      <c r="D32" s="379">
        <f>+NW!B41</f>
        <v>37236</v>
      </c>
      <c r="E32" s="32" t="s">
        <v>85</v>
      </c>
      <c r="F32" s="32" t="s">
        <v>116</v>
      </c>
      <c r="G32" s="365"/>
      <c r="H32" s="252"/>
      <c r="I32" s="252"/>
      <c r="J32" s="252"/>
      <c r="K32" s="252"/>
      <c r="L32" s="32" t="s">
        <v>258</v>
      </c>
      <c r="M32" s="529">
        <v>24693</v>
      </c>
      <c r="N32" s="280">
        <v>275313.71999999997</v>
      </c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</row>
    <row r="33" spans="1:32" s="300" customFormat="1" ht="13.5" customHeight="1" x14ac:dyDescent="0.25">
      <c r="A33" s="525" t="s">
        <v>110</v>
      </c>
      <c r="B33" s="540">
        <f>+Continental!F43</f>
        <v>30319.09</v>
      </c>
      <c r="C33" s="208">
        <f>+B33/$H$4</f>
        <v>15009.450495049505</v>
      </c>
      <c r="D33" s="379">
        <f>+Continental!A43</f>
        <v>37235</v>
      </c>
      <c r="E33" s="206" t="s">
        <v>86</v>
      </c>
      <c r="F33" s="206" t="s">
        <v>116</v>
      </c>
      <c r="G33" s="206"/>
      <c r="H33" s="206"/>
      <c r="I33" s="206"/>
      <c r="J33" s="206"/>
      <c r="K33" s="206"/>
      <c r="L33" s="32" t="s">
        <v>258</v>
      </c>
      <c r="M33" s="395">
        <v>24361</v>
      </c>
      <c r="N33" s="70">
        <v>811179.69</v>
      </c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</row>
    <row r="34" spans="1:32" s="300" customFormat="1" ht="13.5" customHeight="1" x14ac:dyDescent="0.25">
      <c r="A34" s="206" t="s">
        <v>96</v>
      </c>
      <c r="B34" s="540">
        <f>+burlington!D42</f>
        <v>5062.93</v>
      </c>
      <c r="C34" s="282">
        <f>+B34/$H$3</f>
        <v>2544.1859296482412</v>
      </c>
      <c r="D34" s="379">
        <f>+burlington!A42</f>
        <v>37235</v>
      </c>
      <c r="E34" s="206" t="s">
        <v>86</v>
      </c>
      <c r="F34" s="32" t="s">
        <v>114</v>
      </c>
      <c r="G34" s="32"/>
      <c r="H34" s="206"/>
      <c r="I34" s="206"/>
      <c r="J34" s="206"/>
      <c r="K34" s="206"/>
      <c r="L34" s="32" t="s">
        <v>258</v>
      </c>
      <c r="M34" s="395">
        <v>21665</v>
      </c>
      <c r="N34" s="70">
        <v>73449</v>
      </c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</row>
    <row r="35" spans="1:32" s="300" customFormat="1" ht="13.5" customHeight="1" x14ac:dyDescent="0.25">
      <c r="A35" s="526" t="s">
        <v>32</v>
      </c>
      <c r="B35" s="580">
        <f>+C35*$H$4</f>
        <v>1620.04</v>
      </c>
      <c r="C35" s="71">
        <f>+Lonestar!F42</f>
        <v>802</v>
      </c>
      <c r="D35" s="379">
        <f>+Lonestar!B42</f>
        <v>37235</v>
      </c>
      <c r="E35" s="32" t="s">
        <v>85</v>
      </c>
      <c r="F35" s="32" t="s">
        <v>103</v>
      </c>
      <c r="G35" s="32"/>
      <c r="H35" s="206"/>
      <c r="I35" s="206"/>
      <c r="J35" s="206"/>
      <c r="K35" s="206"/>
      <c r="L35" s="32"/>
      <c r="M35" s="395"/>
      <c r="N35" s="70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</row>
    <row r="36" spans="1:32" ht="18" customHeight="1" x14ac:dyDescent="0.25">
      <c r="A36" s="32" t="s">
        <v>97</v>
      </c>
      <c r="B36" s="47">
        <f>SUM(B8:B35)</f>
        <v>7828880.7199999988</v>
      </c>
      <c r="C36" s="69">
        <f>SUM(C8:C35)</f>
        <v>3860168.0570226396</v>
      </c>
      <c r="D36" s="205"/>
      <c r="E36" s="32"/>
      <c r="F36" s="32"/>
      <c r="G36" s="32"/>
      <c r="H36" s="32"/>
      <c r="I36" s="32"/>
      <c r="J36" s="32"/>
      <c r="K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5">
      <c r="A37" s="32"/>
      <c r="B37" s="47"/>
      <c r="C37" s="69"/>
      <c r="D37" s="205"/>
      <c r="E37" s="32"/>
      <c r="F37" s="364"/>
      <c r="G37" s="32"/>
      <c r="H37" s="32"/>
      <c r="I37" s="32"/>
      <c r="J37" s="32"/>
      <c r="K37" s="32"/>
      <c r="L37" s="32"/>
      <c r="M37" s="395"/>
      <c r="N37" s="70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5">
      <c r="A38" s="346" t="s">
        <v>90</v>
      </c>
      <c r="B38" s="347" t="s">
        <v>17</v>
      </c>
      <c r="C38" s="348" t="s">
        <v>0</v>
      </c>
      <c r="D38" s="355" t="s">
        <v>149</v>
      </c>
      <c r="E38" s="346" t="s">
        <v>91</v>
      </c>
      <c r="F38" s="349" t="s">
        <v>102</v>
      </c>
      <c r="G38" s="346" t="s">
        <v>99</v>
      </c>
      <c r="H38" s="32"/>
      <c r="I38" s="32"/>
      <c r="J38" s="32"/>
      <c r="K38" s="32"/>
      <c r="L38" s="32"/>
      <c r="M38" s="395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5">
      <c r="A39" s="206" t="s">
        <v>262</v>
      </c>
      <c r="B39" s="542">
        <f>+DEFS!$C$40+DEFS!$E$40+DEFS!$F$44+DEFS!$F$45+DEFS!$F$46+DEFS!$F$47+DEFS!$F$48</f>
        <v>-2704817.6100000003</v>
      </c>
      <c r="C39" s="361">
        <f>+B39/$H$5</f>
        <v>-1325890.9852941178</v>
      </c>
      <c r="D39" s="379">
        <f>+DEFS!A40</f>
        <v>37235</v>
      </c>
      <c r="E39" s="206" t="s">
        <v>86</v>
      </c>
      <c r="F39" s="32" t="s">
        <v>101</v>
      </c>
      <c r="G39" s="32" t="s">
        <v>328</v>
      </c>
      <c r="H39" s="32"/>
      <c r="I39" s="32"/>
      <c r="J39" s="32"/>
      <c r="K39" s="32"/>
      <c r="L39" s="32"/>
      <c r="M39" s="395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" customHeight="1" x14ac:dyDescent="0.25">
      <c r="A40" s="206" t="s">
        <v>137</v>
      </c>
      <c r="B40" s="540">
        <f>+Citizens!D18</f>
        <v>-521519.44</v>
      </c>
      <c r="C40" s="208">
        <f>+B40/$H$4</f>
        <v>-258177.94059405942</v>
      </c>
      <c r="D40" s="379">
        <f>+Citizens!A18</f>
        <v>37235</v>
      </c>
      <c r="E40" s="206" t="s">
        <v>86</v>
      </c>
      <c r="F40" s="206" t="s">
        <v>100</v>
      </c>
      <c r="G40" s="365"/>
      <c r="H40" s="32"/>
      <c r="I40" s="32"/>
      <c r="J40" s="32"/>
      <c r="K40" s="32"/>
      <c r="L40" s="32"/>
      <c r="M40" s="395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" customHeight="1" x14ac:dyDescent="0.25">
      <c r="A41" s="32" t="s">
        <v>135</v>
      </c>
      <c r="B41" s="540">
        <f>+'NS Steel'!D41</f>
        <v>-346024.64</v>
      </c>
      <c r="C41" s="208">
        <f>+B41/$H$4</f>
        <v>-171299.32673267327</v>
      </c>
      <c r="D41" s="380">
        <f>+'NS Steel'!A41</f>
        <v>37236</v>
      </c>
      <c r="E41" s="32" t="s">
        <v>86</v>
      </c>
      <c r="F41" s="32" t="s">
        <v>101</v>
      </c>
      <c r="G41" s="365"/>
      <c r="H41" s="32"/>
      <c r="I41" s="32"/>
      <c r="J41" s="32"/>
      <c r="K41" s="32"/>
      <c r="L41" s="32"/>
      <c r="M41" s="395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" customHeight="1" x14ac:dyDescent="0.25">
      <c r="A42" s="206" t="s">
        <v>274</v>
      </c>
      <c r="B42" s="540">
        <f>+MiVida_Rich!D41</f>
        <v>-195699.5</v>
      </c>
      <c r="C42" s="208">
        <f>+B42/$H$5</f>
        <v>-95931.127450980392</v>
      </c>
      <c r="D42" s="379">
        <f>+MiVida_Rich!A41</f>
        <v>37225</v>
      </c>
      <c r="E42" s="206" t="s">
        <v>86</v>
      </c>
      <c r="F42" s="206" t="s">
        <v>100</v>
      </c>
      <c r="G42" s="365"/>
      <c r="H42" s="32"/>
      <c r="I42" s="32"/>
      <c r="J42" s="32"/>
      <c r="K42" s="32"/>
      <c r="L42" s="32"/>
      <c r="M42" s="395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" customHeight="1" x14ac:dyDescent="0.25">
      <c r="A43" s="32" t="s">
        <v>6</v>
      </c>
      <c r="B43" s="540">
        <f>+C43*$H$3</f>
        <v>-121344.23</v>
      </c>
      <c r="C43" s="282">
        <f>+Amoco!D40</f>
        <v>-60977</v>
      </c>
      <c r="D43" s="380">
        <f>+Amoco!A40</f>
        <v>37236</v>
      </c>
      <c r="E43" s="32" t="s">
        <v>85</v>
      </c>
      <c r="F43" s="32" t="s">
        <v>116</v>
      </c>
      <c r="G43" s="32"/>
      <c r="H43" s="32"/>
      <c r="I43" s="32"/>
      <c r="J43" s="32"/>
      <c r="K43" s="32"/>
      <c r="L43" s="32"/>
      <c r="M43" s="395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s="300" customFormat="1" ht="12.9" customHeight="1" x14ac:dyDescent="0.25">
      <c r="A44" s="32" t="s">
        <v>229</v>
      </c>
      <c r="B44" s="540">
        <f>+crosstex!F41</f>
        <v>-120641.36</v>
      </c>
      <c r="C44" s="208">
        <f>+B44/$H$4</f>
        <v>-59723.445544554452</v>
      </c>
      <c r="D44" s="380">
        <f>+crosstex!A41</f>
        <v>37235</v>
      </c>
      <c r="E44" s="32" t="s">
        <v>86</v>
      </c>
      <c r="F44" s="32" t="s">
        <v>101</v>
      </c>
      <c r="G44" s="365"/>
      <c r="H44" s="206"/>
      <c r="I44" s="206"/>
      <c r="J44" s="206"/>
      <c r="K44" s="206"/>
      <c r="L44" s="206"/>
      <c r="M44" s="529"/>
      <c r="N44" s="280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</row>
    <row r="45" spans="1:32" s="300" customFormat="1" ht="13.5" customHeight="1" x14ac:dyDescent="0.25">
      <c r="A45" s="32" t="s">
        <v>150</v>
      </c>
      <c r="B45" s="540">
        <f>+PGETX!$H$39</f>
        <v>-106217.28</v>
      </c>
      <c r="C45" s="282">
        <f>+B45/$H$4</f>
        <v>-52582.811881188121</v>
      </c>
      <c r="D45" s="380">
        <f>+PGETX!E39</f>
        <v>37236</v>
      </c>
      <c r="E45" s="32" t="s">
        <v>86</v>
      </c>
      <c r="F45" s="32" t="s">
        <v>103</v>
      </c>
      <c r="G45" s="32"/>
      <c r="H45" s="206"/>
      <c r="I45" s="206"/>
      <c r="J45" s="206"/>
      <c r="K45" s="206"/>
      <c r="L45" s="206"/>
      <c r="M45" s="529"/>
      <c r="N45" s="280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</row>
    <row r="46" spans="1:32" ht="13.5" customHeight="1" x14ac:dyDescent="0.25">
      <c r="A46" s="206" t="s">
        <v>144</v>
      </c>
      <c r="B46" s="542">
        <f>+C46*$H$4</f>
        <v>-45783.3</v>
      </c>
      <c r="C46" s="361">
        <f>+PEPL!D41</f>
        <v>-22665</v>
      </c>
      <c r="D46" s="379">
        <f>+PEPL!A41</f>
        <v>37236</v>
      </c>
      <c r="E46" s="206" t="s">
        <v>85</v>
      </c>
      <c r="F46" s="206" t="s">
        <v>101</v>
      </c>
      <c r="G46" s="32"/>
      <c r="H46" s="32"/>
      <c r="I46" s="32"/>
      <c r="J46" s="32"/>
      <c r="K46" s="32"/>
      <c r="L46" s="32"/>
      <c r="M46" s="395"/>
      <c r="N46" s="70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ht="13.5" customHeight="1" x14ac:dyDescent="0.25">
      <c r="A47" s="206" t="s">
        <v>217</v>
      </c>
      <c r="B47" s="542">
        <f>+WTGmktg!J43</f>
        <v>-45709.32</v>
      </c>
      <c r="C47" s="208">
        <f>+B47/$H$4</f>
        <v>-22628.376237623761</v>
      </c>
      <c r="D47" s="379">
        <f>+WTGmktg!A43</f>
        <v>37233</v>
      </c>
      <c r="E47" s="32" t="s">
        <v>86</v>
      </c>
      <c r="F47" s="206" t="s">
        <v>116</v>
      </c>
      <c r="G47" s="206"/>
      <c r="H47" s="32"/>
      <c r="I47" s="32"/>
      <c r="J47" s="32"/>
      <c r="K47" s="32"/>
      <c r="L47" s="32"/>
      <c r="M47" s="395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3.5" customHeight="1" x14ac:dyDescent="0.25">
      <c r="A48" s="32" t="s">
        <v>104</v>
      </c>
      <c r="B48" s="540">
        <f>+EOG!$J$41</f>
        <v>-40950.44</v>
      </c>
      <c r="C48" s="282">
        <f>+B48/$H$4</f>
        <v>-20272.495049504952</v>
      </c>
      <c r="D48" s="379">
        <f>+EOG!A41</f>
        <v>37235</v>
      </c>
      <c r="E48" s="32" t="s">
        <v>86</v>
      </c>
      <c r="F48" s="32" t="s">
        <v>103</v>
      </c>
      <c r="G48" s="32"/>
      <c r="H48" s="32"/>
      <c r="I48" s="32"/>
      <c r="J48" s="32"/>
      <c r="K48" s="32"/>
      <c r="L48" s="32"/>
      <c r="M48" s="395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3.5" customHeight="1" x14ac:dyDescent="0.25">
      <c r="A49" s="525" t="s">
        <v>29</v>
      </c>
      <c r="B49" s="540">
        <f>+C49*$H$3</f>
        <v>-38335.360000000001</v>
      </c>
      <c r="C49" s="282">
        <f>+williams!J35</f>
        <v>-19264</v>
      </c>
      <c r="D49" s="379">
        <f>+williams!A40</f>
        <v>37236</v>
      </c>
      <c r="E49" s="206" t="s">
        <v>86</v>
      </c>
      <c r="F49" s="206" t="s">
        <v>147</v>
      </c>
      <c r="G49" s="2" t="s">
        <v>318</v>
      </c>
      <c r="H49" s="32"/>
      <c r="I49" s="32"/>
      <c r="J49" s="32"/>
      <c r="K49" s="32"/>
      <c r="L49" s="32"/>
      <c r="M49" s="395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3.5" customHeight="1" x14ac:dyDescent="0.25">
      <c r="A50" s="32" t="s">
        <v>7</v>
      </c>
      <c r="B50" s="540">
        <f>+C50*$H$4</f>
        <v>-15796.4</v>
      </c>
      <c r="C50" s="208">
        <f>+Oasis!D40</f>
        <v>-7820</v>
      </c>
      <c r="D50" s="380">
        <f>+Oasis!B40</f>
        <v>37236</v>
      </c>
      <c r="E50" s="32" t="s">
        <v>85</v>
      </c>
      <c r="F50" s="32" t="s">
        <v>103</v>
      </c>
      <c r="G50" s="32"/>
      <c r="H50" s="32"/>
      <c r="I50" s="32"/>
      <c r="J50" s="32"/>
      <c r="K50" s="32"/>
      <c r="L50" s="32"/>
      <c r="M50" s="395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2.9" customHeight="1" x14ac:dyDescent="0.25">
      <c r="A51" s="525" t="s">
        <v>72</v>
      </c>
      <c r="B51" s="542">
        <f>+transcol!$D$43</f>
        <v>-1043.8900000000012</v>
      </c>
      <c r="C51" s="361">
        <f>+B51/$H$4</f>
        <v>-516.77722772277286</v>
      </c>
      <c r="D51" s="379">
        <f>+transcol!A43</f>
        <v>37236</v>
      </c>
      <c r="E51" s="206" t="s">
        <v>86</v>
      </c>
      <c r="F51" s="206" t="s">
        <v>116</v>
      </c>
      <c r="G51" s="32"/>
      <c r="H51" s="32"/>
      <c r="I51" s="32"/>
      <c r="J51" s="32"/>
      <c r="K51" s="32"/>
      <c r="L51" s="32"/>
      <c r="M51" s="395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5" customHeight="1" x14ac:dyDescent="0.25">
      <c r="A52" s="32" t="s">
        <v>314</v>
      </c>
      <c r="B52" s="580">
        <f>+SWGasTrans!$D$41</f>
        <v>-1029.6999999999998</v>
      </c>
      <c r="C52" s="71">
        <f>+B52/$H$4</f>
        <v>-509.75247524752467</v>
      </c>
      <c r="D52" s="379">
        <f>+SWGasTrans!A41</f>
        <v>37235</v>
      </c>
      <c r="E52" s="32" t="s">
        <v>86</v>
      </c>
      <c r="F52" s="32" t="s">
        <v>100</v>
      </c>
      <c r="G52" s="32"/>
      <c r="H52" s="32"/>
      <c r="I52" s="32"/>
      <c r="J52" s="32"/>
      <c r="K52" s="32"/>
      <c r="L52" s="32"/>
      <c r="M52" s="395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5" customHeight="1" x14ac:dyDescent="0.25">
      <c r="A53" s="32" t="s">
        <v>98</v>
      </c>
      <c r="B53" s="359">
        <f>SUM(B39:B52)</f>
        <v>-4304912.4700000007</v>
      </c>
      <c r="C53" s="208">
        <f>SUM(C39:C52)</f>
        <v>-2118259.0384876723</v>
      </c>
      <c r="D53" s="366"/>
      <c r="E53" s="32"/>
      <c r="F53" s="32"/>
      <c r="G53" s="32"/>
      <c r="H53" s="32"/>
      <c r="I53" s="32"/>
      <c r="J53" s="32"/>
      <c r="K53" s="32"/>
      <c r="L53" s="32"/>
      <c r="M53" s="395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" customHeight="1" x14ac:dyDescent="0.25">
      <c r="A54" s="32"/>
      <c r="B54" s="362"/>
      <c r="C54" s="71"/>
      <c r="D54" s="205"/>
      <c r="E54" s="32"/>
      <c r="F54" s="32"/>
      <c r="G54" s="32"/>
      <c r="H54" s="32"/>
      <c r="I54" s="32"/>
      <c r="J54" s="32"/>
      <c r="K54" s="32"/>
      <c r="L54" s="32"/>
      <c r="M54" s="395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8" thickBot="1" x14ac:dyDescent="0.3">
      <c r="A55" s="2" t="s">
        <v>92</v>
      </c>
      <c r="B55" s="367">
        <f>+B53+B36</f>
        <v>3523968.2499999981</v>
      </c>
      <c r="C55" s="368">
        <f>+C53+C36</f>
        <v>1741909.0185349672</v>
      </c>
      <c r="D55" s="205"/>
      <c r="E55" s="32"/>
      <c r="F55" s="32"/>
      <c r="G55" s="32"/>
      <c r="H55" s="32"/>
      <c r="I55" s="32"/>
      <c r="J55" s="32"/>
      <c r="K55" s="32"/>
      <c r="L55" s="32"/>
      <c r="M55" s="395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8" thickTop="1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95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2" t="s">
        <v>93</v>
      </c>
      <c r="B57" s="47"/>
      <c r="C57" s="301"/>
      <c r="D57" s="205"/>
      <c r="E57" s="32"/>
      <c r="F57" s="32"/>
      <c r="G57" s="32"/>
      <c r="H57" s="32"/>
      <c r="I57" s="32"/>
      <c r="J57" s="32"/>
      <c r="K57" s="32"/>
      <c r="L57" s="32"/>
      <c r="M57" s="395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95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95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47"/>
      <c r="C60" s="69"/>
      <c r="D60" s="205"/>
      <c r="E60" s="32"/>
      <c r="F60" s="32"/>
      <c r="G60" s="32"/>
      <c r="H60" s="32"/>
      <c r="I60" s="32"/>
      <c r="J60" s="32"/>
      <c r="K60" s="32"/>
      <c r="L60" s="32"/>
      <c r="M60" s="395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47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95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B62" s="47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95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B63" s="47"/>
      <c r="C63" s="14"/>
      <c r="D63" s="205"/>
      <c r="E63" s="136"/>
      <c r="F63" s="32"/>
      <c r="G63" s="32"/>
      <c r="H63" s="32"/>
      <c r="I63" s="32"/>
      <c r="J63" s="32"/>
      <c r="K63" s="32"/>
      <c r="L63" s="32"/>
      <c r="M63" s="395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B64" s="47"/>
      <c r="C64" s="69"/>
      <c r="D64" s="205"/>
      <c r="E64" s="32"/>
      <c r="F64" s="32"/>
      <c r="G64" s="32"/>
      <c r="H64" s="32"/>
      <c r="I64" s="32"/>
      <c r="J64" s="32"/>
      <c r="K64" s="32"/>
      <c r="L64" s="32"/>
      <c r="M64" s="395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47"/>
      <c r="C65" s="69"/>
      <c r="D65" s="205"/>
      <c r="E65" s="32"/>
      <c r="F65" s="32"/>
      <c r="G65" s="32"/>
      <c r="H65" s="32"/>
      <c r="I65" s="32"/>
      <c r="J65" s="32"/>
      <c r="K65" s="32"/>
      <c r="L65" s="32"/>
      <c r="M65" s="395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47"/>
      <c r="C66" s="69"/>
      <c r="D66" s="205"/>
      <c r="E66" s="32"/>
      <c r="F66" s="32"/>
      <c r="G66" s="32"/>
      <c r="H66" s="32"/>
      <c r="I66" s="32"/>
      <c r="J66" s="32"/>
      <c r="K66" s="32"/>
      <c r="L66" s="32"/>
      <c r="M66" s="395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H67" s="32"/>
      <c r="I67" s="32"/>
      <c r="J67" s="32"/>
      <c r="K67" s="32"/>
      <c r="L67" s="32"/>
      <c r="M67" s="395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H68" s="32"/>
      <c r="I68" s="32"/>
      <c r="J68" s="32"/>
      <c r="K68" s="32"/>
      <c r="L68" s="32"/>
      <c r="M68" s="395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H69" s="32"/>
      <c r="I69" s="32"/>
      <c r="J69" s="32"/>
      <c r="K69" s="32"/>
      <c r="L69" s="32"/>
      <c r="M69" s="395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H70" s="32"/>
      <c r="I70" s="32"/>
      <c r="J70" s="32"/>
      <c r="K70" s="32"/>
      <c r="L70" s="32"/>
      <c r="M70" s="395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H71" s="32"/>
      <c r="I71" s="32"/>
      <c r="J71" s="32"/>
      <c r="K71" s="32"/>
      <c r="L71" s="32"/>
      <c r="M71" s="395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H72" s="32"/>
      <c r="I72" s="32"/>
      <c r="J72" s="32"/>
      <c r="K72" s="32"/>
      <c r="L72" s="32"/>
      <c r="M72" s="395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H73" s="32"/>
      <c r="I73" s="32"/>
      <c r="J73" s="32"/>
      <c r="K73" s="32"/>
      <c r="L73" s="32"/>
      <c r="M73" s="395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H74" s="32"/>
      <c r="I74" s="32"/>
      <c r="J74" s="32"/>
      <c r="K74" s="32"/>
      <c r="L74" s="32"/>
      <c r="M74" s="395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H75" s="32"/>
      <c r="I75" s="32"/>
      <c r="J75" s="32"/>
      <c r="K75" s="32"/>
      <c r="L75" s="32"/>
      <c r="M75" s="395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H76" s="32"/>
      <c r="I76" s="32"/>
      <c r="J76" s="32"/>
      <c r="K76" s="32"/>
      <c r="L76" s="32"/>
      <c r="M76" s="395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H77" s="32"/>
      <c r="I77" s="32"/>
      <c r="J77" s="32"/>
      <c r="K77" s="32"/>
      <c r="L77" s="32"/>
      <c r="M77" s="395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H78" s="32"/>
      <c r="I78" s="32"/>
      <c r="J78" s="32"/>
      <c r="K78" s="32"/>
      <c r="L78" s="32"/>
      <c r="M78" s="395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H79" s="32"/>
      <c r="I79" s="32"/>
      <c r="J79" s="32"/>
      <c r="K79" s="32"/>
      <c r="L79" s="32"/>
      <c r="M79" s="395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H80" s="32"/>
      <c r="I80" s="32"/>
      <c r="J80" s="32"/>
      <c r="K80" s="32"/>
      <c r="L80" s="32"/>
      <c r="M80" s="395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5">
      <c r="H81" s="32"/>
      <c r="I81" s="32"/>
      <c r="J81" s="32"/>
      <c r="K81" s="32"/>
      <c r="L81" s="32"/>
      <c r="M81" s="395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5">
      <c r="H82" s="32"/>
      <c r="I82" s="32"/>
      <c r="J82" s="32"/>
      <c r="K82" s="32"/>
      <c r="L82" s="32"/>
      <c r="M82" s="395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5">
      <c r="H83" s="32"/>
      <c r="I83" s="32"/>
      <c r="J83" s="32"/>
      <c r="K83" s="32"/>
      <c r="L83" s="32"/>
      <c r="M83" s="395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5">
      <c r="H84" s="32"/>
      <c r="I84" s="32"/>
      <c r="J84" s="32"/>
      <c r="K84" s="32"/>
      <c r="L84" s="32"/>
      <c r="M84" s="395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5">
      <c r="H85" s="32"/>
      <c r="I85" s="32"/>
      <c r="J85" s="32"/>
      <c r="K85" s="32"/>
      <c r="L85" s="32"/>
      <c r="M85" s="395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5">
      <c r="H86" s="32"/>
      <c r="I86" s="32"/>
      <c r="J86" s="32"/>
      <c r="K86" s="32"/>
      <c r="L86" s="32"/>
      <c r="M86" s="395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5">
      <c r="H87" s="32"/>
      <c r="I87" s="32"/>
      <c r="J87" s="32"/>
      <c r="K87" s="32"/>
      <c r="L87" s="32"/>
      <c r="M87" s="395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5">
      <c r="H88" s="32"/>
      <c r="I88" s="32"/>
      <c r="J88" s="32"/>
      <c r="K88" s="32"/>
      <c r="L88" s="32"/>
      <c r="M88" s="395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5">
      <c r="H89" s="32"/>
      <c r="I89" s="32"/>
      <c r="J89" s="32"/>
      <c r="K89" s="32"/>
      <c r="L89" s="32"/>
      <c r="M89" s="395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5">
      <c r="H90" s="32"/>
      <c r="I90" s="32"/>
      <c r="J90" s="32"/>
      <c r="K90" s="32"/>
      <c r="L90" s="32"/>
      <c r="M90" s="395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5">
      <c r="H91" s="32"/>
      <c r="I91" s="32"/>
      <c r="J91" s="32"/>
      <c r="K91" s="32"/>
      <c r="L91" s="32"/>
      <c r="M91" s="395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5">
      <c r="H92" s="32"/>
      <c r="I92" s="32"/>
      <c r="J92" s="32"/>
      <c r="K92" s="32"/>
      <c r="L92" s="32"/>
      <c r="M92" s="395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5">
      <c r="H93" s="32"/>
      <c r="I93" s="32"/>
      <c r="J93" s="32"/>
      <c r="K93" s="32"/>
      <c r="L93" s="32"/>
      <c r="M93" s="395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5">
      <c r="H94" s="32"/>
      <c r="I94" s="32"/>
      <c r="J94" s="32"/>
      <c r="K94" s="32"/>
      <c r="L94" s="32"/>
      <c r="M94" s="395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5">
      <c r="H95" s="32"/>
      <c r="I95" s="32"/>
      <c r="J95" s="32"/>
      <c r="K95" s="32"/>
      <c r="L95" s="32"/>
      <c r="M95" s="395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5">
      <c r="H96" s="32"/>
      <c r="I96" s="32"/>
      <c r="J96" s="32"/>
      <c r="K96" s="32"/>
      <c r="L96" s="32"/>
      <c r="M96" s="395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H97" s="32"/>
      <c r="I97" s="32"/>
      <c r="J97" s="32"/>
      <c r="K97" s="32"/>
      <c r="L97" s="32"/>
      <c r="M97" s="395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H98" s="32"/>
      <c r="I98" s="32"/>
      <c r="J98" s="32"/>
      <c r="K98" s="32"/>
      <c r="L98" s="32"/>
      <c r="M98" s="395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H99" s="32"/>
      <c r="I99" s="32"/>
      <c r="J99" s="32"/>
      <c r="K99" s="32"/>
      <c r="L99" s="32"/>
      <c r="M99" s="395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2" t="s">
        <v>277</v>
      </c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95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 t="s">
        <v>275</v>
      </c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95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 t="s">
        <v>276</v>
      </c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95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369"/>
      <c r="C103" s="370"/>
      <c r="D103" s="205"/>
      <c r="E103" s="32"/>
      <c r="F103" s="32"/>
      <c r="G103" s="32"/>
      <c r="H103" s="32"/>
      <c r="I103" s="32"/>
      <c r="J103" s="32"/>
      <c r="K103" s="32"/>
      <c r="L103" s="32"/>
      <c r="M103" s="395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 t="s">
        <v>278</v>
      </c>
      <c r="B104" s="75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95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 t="s">
        <v>279</v>
      </c>
      <c r="B105" s="75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95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 t="s">
        <v>281</v>
      </c>
      <c r="B106" s="75">
        <v>-8065.83</v>
      </c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95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 t="s">
        <v>282</v>
      </c>
      <c r="B107" s="75">
        <v>8689.86</v>
      </c>
      <c r="C107" s="69" t="s">
        <v>283</v>
      </c>
      <c r="D107" s="371"/>
      <c r="E107" s="32"/>
      <c r="F107" s="32"/>
      <c r="G107" s="32"/>
      <c r="H107" s="32"/>
      <c r="I107" s="32"/>
      <c r="J107" s="32"/>
      <c r="K107" s="32"/>
      <c r="L107" s="32"/>
      <c r="M107" s="395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 t="s">
        <v>284</v>
      </c>
      <c r="B108" s="75">
        <v>75737.570000000007</v>
      </c>
      <c r="C108" s="301"/>
      <c r="D108" s="205"/>
      <c r="E108" s="32"/>
      <c r="F108" s="32"/>
      <c r="G108" s="32"/>
      <c r="H108" s="32"/>
      <c r="I108" s="32"/>
      <c r="J108" s="32"/>
      <c r="K108" s="32"/>
      <c r="L108" s="32"/>
      <c r="M108" s="395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 t="s">
        <v>285</v>
      </c>
      <c r="B109" s="576" t="s">
        <v>287</v>
      </c>
      <c r="C109" s="301"/>
      <c r="D109" s="372"/>
      <c r="E109" s="373"/>
      <c r="F109" s="32"/>
      <c r="G109" s="32"/>
      <c r="H109" s="32"/>
      <c r="I109" s="32"/>
      <c r="J109" s="32"/>
      <c r="K109" s="32"/>
      <c r="L109" s="32"/>
      <c r="M109" s="395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 t="s">
        <v>286</v>
      </c>
      <c r="B110" s="576" t="s">
        <v>288</v>
      </c>
      <c r="C110" s="301"/>
      <c r="D110" s="374"/>
      <c r="E110" s="32"/>
      <c r="F110" s="32"/>
      <c r="G110" s="32"/>
      <c r="H110" s="32"/>
      <c r="I110" s="32"/>
      <c r="J110" s="32"/>
      <c r="K110" s="32"/>
      <c r="L110" s="32"/>
      <c r="M110" s="395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 t="s">
        <v>291</v>
      </c>
      <c r="B111" s="15">
        <v>97267.53</v>
      </c>
      <c r="C111" s="301"/>
      <c r="D111" s="374"/>
      <c r="E111" s="32"/>
      <c r="F111" s="32"/>
      <c r="G111" s="32"/>
      <c r="H111" s="32"/>
      <c r="I111" s="32"/>
      <c r="J111" s="32"/>
      <c r="K111" s="32"/>
      <c r="L111" s="32"/>
      <c r="M111" s="395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 t="s">
        <v>289</v>
      </c>
      <c r="B112" s="75">
        <v>-1590.44</v>
      </c>
      <c r="C112" s="301"/>
      <c r="D112" s="375"/>
      <c r="E112" s="32"/>
      <c r="F112" s="32"/>
      <c r="G112" s="32"/>
      <c r="H112" s="32"/>
      <c r="I112" s="32"/>
      <c r="J112" s="32"/>
      <c r="K112" s="32"/>
      <c r="L112" s="32"/>
      <c r="M112" s="395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 t="s">
        <v>292</v>
      </c>
      <c r="B113" s="75">
        <v>4290.5</v>
      </c>
      <c r="C113" s="301"/>
      <c r="D113" s="376"/>
      <c r="E113" s="32"/>
      <c r="F113" s="32"/>
      <c r="G113" s="32"/>
      <c r="H113" s="32"/>
      <c r="I113" s="32"/>
      <c r="J113" s="32"/>
      <c r="K113" s="32"/>
      <c r="L113" s="32"/>
      <c r="M113" s="395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 t="s">
        <v>296</v>
      </c>
      <c r="B114" s="75">
        <v>9780.35</v>
      </c>
      <c r="C114" s="572"/>
      <c r="D114" s="205"/>
      <c r="E114" s="32"/>
      <c r="F114" s="32"/>
      <c r="G114" s="32"/>
      <c r="H114" s="32"/>
      <c r="I114" s="32"/>
      <c r="J114" s="32"/>
      <c r="K114" s="32"/>
      <c r="L114" s="32"/>
      <c r="M114" s="395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 t="s">
        <v>299</v>
      </c>
      <c r="B115" s="75">
        <v>47610.18</v>
      </c>
      <c r="C115" s="572"/>
      <c r="D115" s="371"/>
      <c r="E115" s="32"/>
      <c r="F115" s="32"/>
      <c r="G115" s="32"/>
      <c r="H115" s="32"/>
      <c r="I115" s="32"/>
      <c r="J115" s="32"/>
      <c r="K115" s="32"/>
      <c r="L115" s="32"/>
      <c r="M115" s="395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 t="s">
        <v>303</v>
      </c>
      <c r="B116" s="15">
        <v>-1548.84</v>
      </c>
      <c r="C116" s="572"/>
      <c r="D116" s="205"/>
      <c r="E116" s="32"/>
      <c r="F116" s="32"/>
      <c r="G116" s="32"/>
      <c r="H116" s="32"/>
      <c r="I116" s="32"/>
      <c r="J116" s="32"/>
      <c r="K116" s="32"/>
      <c r="L116" s="32"/>
      <c r="M116" s="395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 t="s">
        <v>307</v>
      </c>
      <c r="B117" s="15">
        <v>-10776.55</v>
      </c>
      <c r="C117" s="572"/>
      <c r="D117" s="205"/>
      <c r="E117" s="32"/>
      <c r="F117" s="32"/>
      <c r="G117" s="32"/>
      <c r="H117" s="32"/>
      <c r="I117" s="32"/>
      <c r="J117" s="32"/>
      <c r="K117" s="32"/>
      <c r="L117" s="32"/>
      <c r="M117" s="395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 t="s">
        <v>308</v>
      </c>
      <c r="B118" s="15">
        <v>9125.5499999999993</v>
      </c>
      <c r="C118" s="573"/>
      <c r="D118" s="371"/>
      <c r="E118" s="32"/>
      <c r="F118" s="32"/>
      <c r="G118" s="32"/>
      <c r="H118" s="32"/>
      <c r="I118" s="32"/>
      <c r="J118" s="32"/>
      <c r="K118" s="32"/>
      <c r="L118" s="32"/>
      <c r="M118" s="395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 t="s">
        <v>310</v>
      </c>
      <c r="B119" s="578" t="s">
        <v>311</v>
      </c>
      <c r="C119" s="573"/>
      <c r="D119" s="371"/>
      <c r="E119" s="32"/>
      <c r="F119" s="32"/>
      <c r="G119" s="32"/>
      <c r="H119" s="32"/>
      <c r="I119" s="32"/>
      <c r="J119" s="32"/>
      <c r="K119" s="32"/>
      <c r="L119" s="32"/>
      <c r="M119" s="395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 t="s">
        <v>315</v>
      </c>
      <c r="B120" s="15">
        <v>1357.88</v>
      </c>
      <c r="C120" s="573"/>
      <c r="D120" s="371"/>
      <c r="E120" s="32"/>
      <c r="F120" s="32"/>
      <c r="G120" s="32"/>
      <c r="H120" s="32"/>
      <c r="I120" s="32"/>
      <c r="J120" s="32"/>
      <c r="K120" s="32"/>
      <c r="L120" s="32"/>
      <c r="M120" s="395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 t="s">
        <v>306</v>
      </c>
      <c r="B121" s="15">
        <f>44144.84-58339.66</f>
        <v>-14194.820000000007</v>
      </c>
      <c r="C121" s="573">
        <v>26357</v>
      </c>
      <c r="D121" s="205"/>
      <c r="E121" s="32"/>
      <c r="F121" s="32"/>
      <c r="G121" s="32"/>
      <c r="H121" s="32"/>
      <c r="I121" s="32"/>
      <c r="J121" s="32"/>
      <c r="K121" s="32"/>
      <c r="L121" s="32"/>
      <c r="M121" s="395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 t="s">
        <v>306</v>
      </c>
      <c r="B122" s="15">
        <v>-51695.87</v>
      </c>
      <c r="C122" s="573">
        <v>20379</v>
      </c>
      <c r="D122" s="205"/>
      <c r="E122" s="32"/>
      <c r="F122" s="32"/>
      <c r="G122" s="32"/>
      <c r="H122" s="32"/>
      <c r="I122" s="32"/>
      <c r="J122" s="32"/>
      <c r="K122" s="32"/>
      <c r="L122" s="32"/>
      <c r="M122" s="395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 t="s">
        <v>306</v>
      </c>
      <c r="B123" s="15">
        <v>61340.160000000003</v>
      </c>
      <c r="C123" s="573">
        <v>21544</v>
      </c>
      <c r="D123" s="205"/>
      <c r="E123" s="32"/>
      <c r="F123" s="32"/>
      <c r="G123" s="32"/>
      <c r="H123" s="32"/>
      <c r="I123" s="32"/>
      <c r="J123" s="32"/>
      <c r="K123" s="32"/>
      <c r="L123" s="32"/>
      <c r="M123" s="395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 t="s">
        <v>306</v>
      </c>
      <c r="B124" s="264"/>
      <c r="C124" s="573"/>
      <c r="D124" s="205"/>
      <c r="E124" s="32"/>
      <c r="F124" s="32"/>
      <c r="G124" s="32"/>
      <c r="H124" s="32"/>
      <c r="I124" s="32"/>
      <c r="J124" s="32"/>
      <c r="K124" s="32"/>
      <c r="L124" s="32"/>
      <c r="M124" s="395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 t="s">
        <v>316</v>
      </c>
      <c r="B125" s="264">
        <v>828.64</v>
      </c>
      <c r="C125" s="573"/>
      <c r="D125" s="205"/>
      <c r="E125" s="32"/>
      <c r="F125" s="32"/>
      <c r="G125" s="32"/>
      <c r="H125" s="32"/>
      <c r="I125" s="32"/>
      <c r="J125" s="32"/>
      <c r="K125" s="32"/>
      <c r="L125" s="32"/>
      <c r="M125" s="395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 t="s">
        <v>317</v>
      </c>
      <c r="B126" s="264">
        <v>8282.6</v>
      </c>
      <c r="C126" s="573"/>
      <c r="D126" s="205"/>
      <c r="E126" s="32"/>
      <c r="F126" s="32"/>
      <c r="G126" s="32"/>
      <c r="H126" s="32"/>
      <c r="I126" s="32"/>
      <c r="J126" s="32"/>
      <c r="K126" s="32"/>
      <c r="L126" s="32"/>
      <c r="M126" s="395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 t="s">
        <v>309</v>
      </c>
      <c r="B127" s="264">
        <v>17432.3</v>
      </c>
      <c r="C127" s="573"/>
      <c r="D127" s="205"/>
      <c r="E127" s="32"/>
      <c r="F127" s="32"/>
      <c r="G127" s="32"/>
      <c r="H127" s="32"/>
      <c r="I127" s="32"/>
      <c r="J127" s="32"/>
      <c r="K127" s="32"/>
      <c r="L127" s="32"/>
      <c r="M127" s="395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 t="s">
        <v>302</v>
      </c>
      <c r="B128" s="264">
        <v>-7228.77</v>
      </c>
      <c r="C128" s="572"/>
      <c r="D128" s="205"/>
      <c r="E128" s="32"/>
      <c r="F128" s="32"/>
      <c r="G128" s="32"/>
      <c r="H128" s="32"/>
      <c r="I128" s="32"/>
      <c r="J128" s="32"/>
      <c r="K128" s="32"/>
      <c r="L128" s="32"/>
      <c r="M128" s="395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292" t="s">
        <v>301</v>
      </c>
      <c r="B129" s="15">
        <v>249009.74</v>
      </c>
      <c r="C129" s="572"/>
      <c r="D129" s="205"/>
      <c r="E129" s="32"/>
      <c r="F129" s="32"/>
      <c r="G129" s="32"/>
      <c r="H129" s="32"/>
      <c r="I129" s="32"/>
      <c r="J129" s="32"/>
      <c r="K129" s="32"/>
      <c r="L129" s="32"/>
      <c r="M129" s="395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 t="s">
        <v>295</v>
      </c>
      <c r="B130" s="15">
        <v>1974.11</v>
      </c>
      <c r="C130" s="572"/>
      <c r="D130" s="205"/>
      <c r="E130" s="32"/>
      <c r="F130" s="32"/>
      <c r="G130" s="32"/>
      <c r="H130" s="32"/>
      <c r="I130" s="32"/>
      <c r="J130" s="32"/>
      <c r="K130" s="32"/>
      <c r="L130" s="32"/>
      <c r="M130" s="395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 t="s">
        <v>280</v>
      </c>
      <c r="B131" s="75">
        <v>-35893</v>
      </c>
      <c r="C131" s="572"/>
      <c r="D131" s="205"/>
      <c r="E131" s="32"/>
      <c r="F131" s="32"/>
      <c r="G131" s="32"/>
      <c r="H131" s="32"/>
      <c r="I131" s="32"/>
      <c r="J131" s="32"/>
      <c r="K131" s="32"/>
      <c r="L131" s="32"/>
      <c r="M131" s="395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 t="s">
        <v>290</v>
      </c>
      <c r="B132" s="75">
        <v>27281.87</v>
      </c>
      <c r="C132" s="572"/>
      <c r="D132" s="205"/>
      <c r="E132" s="32"/>
      <c r="F132" s="32"/>
      <c r="G132" s="32"/>
      <c r="H132" s="32"/>
      <c r="I132" s="32"/>
      <c r="J132" s="32"/>
      <c r="K132" s="32"/>
      <c r="L132" s="32"/>
      <c r="M132" s="395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 t="s">
        <v>293</v>
      </c>
      <c r="B133" s="75">
        <v>-2614.58</v>
      </c>
      <c r="C133" s="572"/>
      <c r="D133" s="205"/>
      <c r="E133" s="32"/>
      <c r="F133" s="32"/>
      <c r="G133" s="32"/>
      <c r="H133" s="32"/>
      <c r="I133" s="32"/>
      <c r="J133" s="32"/>
      <c r="K133" s="32"/>
      <c r="L133" s="32"/>
      <c r="M133" s="395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 t="s">
        <v>294</v>
      </c>
      <c r="B134" s="75">
        <v>-177733.88</v>
      </c>
      <c r="C134" s="572"/>
      <c r="D134" s="205"/>
      <c r="E134" s="32"/>
      <c r="F134" s="32"/>
      <c r="G134" s="32"/>
      <c r="H134" s="32"/>
      <c r="I134" s="32"/>
      <c r="J134" s="32"/>
      <c r="K134" s="32"/>
      <c r="L134" s="32"/>
      <c r="M134" s="395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 t="s">
        <v>297</v>
      </c>
      <c r="B135" s="15">
        <v>3338.45</v>
      </c>
      <c r="C135" s="572"/>
      <c r="D135" s="205"/>
      <c r="E135" s="32"/>
      <c r="F135" s="32"/>
      <c r="G135" s="32"/>
      <c r="H135" s="32"/>
      <c r="I135" s="32"/>
      <c r="J135" s="32"/>
      <c r="K135" s="32"/>
      <c r="L135" s="32"/>
      <c r="M135" s="395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 t="s">
        <v>298</v>
      </c>
      <c r="B136" s="15">
        <v>15325.21</v>
      </c>
      <c r="C136" s="572"/>
      <c r="D136" s="205"/>
      <c r="E136" s="32"/>
      <c r="F136" s="32"/>
      <c r="G136" s="32"/>
      <c r="H136" s="32"/>
      <c r="I136" s="32"/>
      <c r="J136" s="32"/>
      <c r="K136" s="32"/>
      <c r="L136" s="32"/>
      <c r="M136" s="395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 t="s">
        <v>300</v>
      </c>
      <c r="B137" s="15">
        <v>-33878.81</v>
      </c>
      <c r="C137" s="572"/>
      <c r="D137" s="205"/>
      <c r="E137" s="32"/>
      <c r="F137" s="32"/>
      <c r="G137" s="32"/>
      <c r="H137" s="32"/>
      <c r="I137" s="32"/>
      <c r="J137" s="32"/>
      <c r="K137" s="32"/>
      <c r="L137" s="32"/>
      <c r="M137" s="395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 t="s">
        <v>304</v>
      </c>
      <c r="B138" s="15">
        <v>-726.96</v>
      </c>
      <c r="C138" s="572"/>
      <c r="D138" s="205"/>
      <c r="E138" s="32"/>
      <c r="F138" s="32"/>
      <c r="G138" s="32"/>
      <c r="H138" s="32"/>
      <c r="I138" s="32"/>
      <c r="J138" s="32"/>
      <c r="K138" s="32"/>
      <c r="L138" s="32"/>
      <c r="M138" s="395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 t="s">
        <v>305</v>
      </c>
      <c r="B139" s="47">
        <v>-4405.4799999999996</v>
      </c>
      <c r="C139" s="572"/>
      <c r="D139" s="205"/>
      <c r="E139" s="32"/>
      <c r="F139" s="32"/>
      <c r="G139" s="32"/>
      <c r="H139" s="32"/>
      <c r="I139" s="32"/>
      <c r="J139" s="32"/>
      <c r="K139" s="32"/>
      <c r="L139" s="32"/>
      <c r="M139" s="395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572"/>
      <c r="D140" s="205"/>
      <c r="E140" s="32"/>
      <c r="F140" s="32"/>
      <c r="G140" s="32"/>
      <c r="H140" s="32"/>
      <c r="I140" s="32"/>
      <c r="J140" s="32"/>
      <c r="K140" s="32"/>
      <c r="L140" s="32"/>
      <c r="M140" s="395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572"/>
      <c r="D141" s="205"/>
      <c r="E141" s="32"/>
      <c r="F141" s="32"/>
      <c r="G141" s="32"/>
      <c r="H141" s="32"/>
      <c r="I141" s="32"/>
      <c r="J141" s="32"/>
      <c r="K141" s="32"/>
      <c r="L141" s="32"/>
      <c r="M141" s="395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572"/>
      <c r="D142" s="205"/>
      <c r="E142" s="32"/>
      <c r="F142" s="32"/>
      <c r="G142" s="32"/>
      <c r="H142" s="32"/>
      <c r="I142" s="32"/>
      <c r="J142" s="32"/>
      <c r="K142" s="32"/>
      <c r="L142" s="32"/>
      <c r="M142" s="395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95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16">
        <f>SUM(B105:B143)</f>
        <v>288318.67</v>
      </c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95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95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95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95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95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95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95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95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95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95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95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95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95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95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95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95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95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95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95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95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95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95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95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95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95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95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95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95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95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95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95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95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95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95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95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95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95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95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95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95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95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95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95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95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95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95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95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95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95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95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95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95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95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95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95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95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95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95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95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95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95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95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95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95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95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95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95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95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95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95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95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95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95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95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95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95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95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95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95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95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95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95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95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95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95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95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95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95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95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95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95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95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95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95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95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95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95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95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95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95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95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95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95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95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95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95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95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95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95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95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95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95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95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95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95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95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95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95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95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95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95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95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95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95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95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95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95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95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95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95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95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95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95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95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95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95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95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95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95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95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95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95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95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95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95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95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95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95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95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95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95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95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95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95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95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95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95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95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95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95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95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95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95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95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95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95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95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95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95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95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95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95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95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95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95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95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95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95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95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95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95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95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95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95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95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95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95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95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95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95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95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95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95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95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95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95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95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95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95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95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95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95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95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95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95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95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95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95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95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95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95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95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95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5">
      <c r="A357" s="32"/>
      <c r="B357" s="47"/>
      <c r="C357" s="69"/>
      <c r="D357" s="205"/>
      <c r="E357" s="32"/>
      <c r="F357" s="32"/>
      <c r="G357" s="32"/>
      <c r="H357" s="32"/>
      <c r="I357" s="32"/>
      <c r="J357" s="32"/>
      <c r="K357" s="32"/>
      <c r="L357" s="32"/>
      <c r="M357" s="395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5">
      <c r="A358" s="32"/>
      <c r="B358" s="47"/>
      <c r="C358" s="69"/>
      <c r="D358" s="205"/>
      <c r="E358" s="32"/>
      <c r="F358" s="32"/>
      <c r="G358" s="32"/>
      <c r="H358" s="32"/>
      <c r="I358" s="32"/>
      <c r="J358" s="32"/>
      <c r="K358" s="32"/>
      <c r="L358" s="32"/>
      <c r="M358" s="395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5">
      <c r="A359" s="32"/>
      <c r="B359" s="47"/>
      <c r="C359" s="69"/>
      <c r="D359" s="205"/>
      <c r="E359" s="32"/>
      <c r="F359" s="32"/>
      <c r="G359" s="32"/>
      <c r="H359" s="32"/>
      <c r="I359" s="32"/>
      <c r="J359" s="32"/>
      <c r="K359" s="32"/>
      <c r="L359" s="32"/>
      <c r="M359" s="395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5">
      <c r="A360" s="32"/>
      <c r="B360" s="47"/>
      <c r="C360" s="69"/>
      <c r="D360" s="205"/>
      <c r="E360" s="32"/>
      <c r="F360" s="32"/>
      <c r="G360" s="32"/>
      <c r="H360" s="32"/>
      <c r="I360" s="32"/>
      <c r="J360" s="32"/>
      <c r="K360" s="32"/>
      <c r="L360" s="32"/>
      <c r="M360" s="395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5">
      <c r="A361" s="32"/>
      <c r="B361" s="47"/>
      <c r="C361" s="69"/>
      <c r="D361" s="205"/>
      <c r="E361" s="32"/>
      <c r="F361" s="32"/>
      <c r="G361" s="32"/>
      <c r="H361" s="32"/>
      <c r="I361" s="32"/>
      <c r="J361" s="32"/>
      <c r="K361" s="32"/>
      <c r="L361" s="32"/>
      <c r="M361" s="395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5">
      <c r="A362" s="32"/>
      <c r="B362" s="47"/>
      <c r="C362" s="69"/>
      <c r="D362" s="205"/>
      <c r="E362" s="32"/>
      <c r="F362" s="32"/>
      <c r="G362" s="32"/>
      <c r="H362" s="32"/>
      <c r="I362" s="32"/>
      <c r="J362" s="32"/>
      <c r="K362" s="32"/>
      <c r="L362" s="32"/>
      <c r="M362" s="395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5">
      <c r="A363" s="32"/>
      <c r="B363" s="47"/>
      <c r="C363" s="69"/>
      <c r="D363" s="205"/>
      <c r="E363" s="32"/>
      <c r="F363" s="32"/>
      <c r="G363" s="32"/>
      <c r="H363" s="32"/>
      <c r="I363" s="32"/>
      <c r="J363" s="32"/>
      <c r="K363" s="32"/>
      <c r="L363" s="32"/>
      <c r="M363" s="395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5">
      <c r="A364" s="32"/>
      <c r="B364" s="47"/>
      <c r="C364" s="69"/>
      <c r="D364" s="205"/>
      <c r="E364" s="32"/>
      <c r="F364" s="32"/>
      <c r="G364" s="32"/>
      <c r="H364" s="32"/>
      <c r="I364" s="32"/>
      <c r="J364" s="32"/>
      <c r="K364" s="32"/>
      <c r="L364" s="32"/>
      <c r="M364" s="395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5">
      <c r="A365" s="32"/>
      <c r="B365" s="47"/>
      <c r="C365" s="69"/>
      <c r="D365" s="205"/>
      <c r="E365" s="32"/>
      <c r="F365" s="32"/>
      <c r="G365" s="32"/>
      <c r="H365" s="32"/>
      <c r="I365" s="32"/>
      <c r="J365" s="32"/>
      <c r="K365" s="32"/>
      <c r="L365" s="32"/>
      <c r="M365" s="395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5">
      <c r="A366" s="32"/>
      <c r="B366" s="47"/>
      <c r="C366" s="69"/>
      <c r="D366" s="205"/>
      <c r="E366" s="32"/>
      <c r="F366" s="32"/>
      <c r="G366" s="32"/>
      <c r="H366" s="32"/>
      <c r="I366" s="32"/>
      <c r="J366" s="32"/>
      <c r="K366" s="32"/>
      <c r="L366" s="32"/>
      <c r="M366" s="395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5">
      <c r="A367" s="32"/>
      <c r="B367" s="47"/>
      <c r="C367" s="69"/>
      <c r="D367" s="205"/>
      <c r="E367" s="32"/>
      <c r="F367" s="32"/>
      <c r="G367" s="32"/>
      <c r="H367" s="32"/>
      <c r="I367" s="32"/>
      <c r="J367" s="32"/>
      <c r="K367" s="32"/>
      <c r="L367" s="32"/>
      <c r="M367" s="395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5">
      <c r="A368" s="32"/>
      <c r="B368" s="47"/>
      <c r="C368" s="69"/>
      <c r="D368" s="205"/>
      <c r="E368" s="32"/>
      <c r="F368" s="32"/>
      <c r="G368" s="32"/>
      <c r="H368" s="32"/>
      <c r="I368" s="32"/>
      <c r="J368" s="32"/>
      <c r="K368" s="32"/>
      <c r="L368" s="32"/>
      <c r="M368" s="395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5">
      <c r="A369" s="32"/>
      <c r="B369" s="47"/>
      <c r="C369" s="69"/>
      <c r="D369" s="205"/>
      <c r="E369" s="32"/>
      <c r="F369" s="32"/>
      <c r="G369" s="32"/>
      <c r="H369" s="32"/>
      <c r="I369" s="32"/>
      <c r="J369" s="32"/>
      <c r="K369" s="32"/>
      <c r="L369" s="32"/>
      <c r="M369" s="395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5">
      <c r="A370" s="32"/>
      <c r="B370" s="47"/>
      <c r="C370" s="69"/>
      <c r="D370" s="205"/>
      <c r="E370" s="32"/>
      <c r="F370" s="32"/>
      <c r="G370" s="32"/>
      <c r="H370" s="32"/>
      <c r="I370" s="32"/>
      <c r="J370" s="32"/>
      <c r="K370" s="32"/>
      <c r="L370" s="32"/>
      <c r="M370" s="395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B38" sqref="B38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189</v>
      </c>
      <c r="C6" s="292"/>
      <c r="D6" s="34" t="s">
        <v>190</v>
      </c>
      <c r="E6" s="292"/>
      <c r="F6" s="292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55" t="s">
        <v>11</v>
      </c>
      <c r="B7" s="447" t="s">
        <v>20</v>
      </c>
      <c r="C7" s="447" t="s">
        <v>21</v>
      </c>
      <c r="D7" s="447" t="s">
        <v>20</v>
      </c>
      <c r="E7" s="447" t="s">
        <v>21</v>
      </c>
      <c r="F7" s="447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48">
        <v>1</v>
      </c>
      <c r="B8" s="428">
        <v>12873</v>
      </c>
      <c r="C8" s="428">
        <v>10932</v>
      </c>
      <c r="D8" s="428"/>
      <c r="E8" s="428"/>
      <c r="F8" s="317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48">
        <v>2</v>
      </c>
      <c r="B9" s="428">
        <v>13275</v>
      </c>
      <c r="C9" s="428">
        <v>10932</v>
      </c>
      <c r="D9" s="428"/>
      <c r="E9" s="428"/>
      <c r="F9" s="317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48">
        <v>3</v>
      </c>
      <c r="B10" s="428">
        <v>15491</v>
      </c>
      <c r="C10" s="428">
        <v>10932</v>
      </c>
      <c r="D10" s="428">
        <v>-1</v>
      </c>
      <c r="E10" s="428"/>
      <c r="F10" s="317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48">
        <v>4</v>
      </c>
      <c r="B11" s="428">
        <v>14090</v>
      </c>
      <c r="C11" s="428">
        <v>10932</v>
      </c>
      <c r="D11" s="428">
        <v>-2</v>
      </c>
      <c r="E11" s="428"/>
      <c r="F11" s="317">
        <f t="shared" si="0"/>
        <v>-3156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48">
        <v>5</v>
      </c>
      <c r="B12" s="428">
        <v>14451</v>
      </c>
      <c r="C12" s="428">
        <v>10932</v>
      </c>
      <c r="D12" s="428">
        <v>-6</v>
      </c>
      <c r="E12" s="428"/>
      <c r="F12" s="317">
        <f t="shared" si="0"/>
        <v>-3513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48">
        <v>6</v>
      </c>
      <c r="B13" s="428">
        <v>13027</v>
      </c>
      <c r="C13" s="428">
        <v>10932</v>
      </c>
      <c r="D13" s="428">
        <v>-56</v>
      </c>
      <c r="E13" s="428"/>
      <c r="F13" s="317">
        <f t="shared" si="0"/>
        <v>-2039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48">
        <v>7</v>
      </c>
      <c r="B14" s="428">
        <v>11185</v>
      </c>
      <c r="C14" s="428">
        <v>10932</v>
      </c>
      <c r="D14" s="428">
        <v>-97</v>
      </c>
      <c r="E14" s="428"/>
      <c r="F14" s="317">
        <f t="shared" si="0"/>
        <v>-156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48">
        <v>8</v>
      </c>
      <c r="B15" s="428">
        <v>10651</v>
      </c>
      <c r="C15" s="428">
        <v>10866</v>
      </c>
      <c r="D15" s="428">
        <v>-111</v>
      </c>
      <c r="E15" s="428"/>
      <c r="F15" s="317">
        <f t="shared" si="0"/>
        <v>326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48">
        <v>9</v>
      </c>
      <c r="B16" s="428">
        <v>10898</v>
      </c>
      <c r="C16" s="428">
        <v>10932</v>
      </c>
      <c r="D16" s="428">
        <v>-36</v>
      </c>
      <c r="E16" s="428"/>
      <c r="F16" s="317">
        <f t="shared" si="0"/>
        <v>70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48">
        <v>10</v>
      </c>
      <c r="B17" s="428">
        <v>11139</v>
      </c>
      <c r="C17" s="428">
        <v>10932</v>
      </c>
      <c r="D17" s="428">
        <v>-13</v>
      </c>
      <c r="E17" s="428"/>
      <c r="F17" s="317">
        <f t="shared" si="0"/>
        <v>-194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48">
        <v>11</v>
      </c>
      <c r="B18" s="428">
        <v>11928</v>
      </c>
      <c r="C18" s="428">
        <v>10932</v>
      </c>
      <c r="D18" s="428">
        <v>-37</v>
      </c>
      <c r="E18" s="428"/>
      <c r="F18" s="317">
        <f t="shared" si="0"/>
        <v>-959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48">
        <v>12</v>
      </c>
      <c r="B19" s="428"/>
      <c r="C19" s="428"/>
      <c r="D19" s="428"/>
      <c r="E19" s="428"/>
      <c r="F19" s="31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48">
        <v>13</v>
      </c>
      <c r="B20" s="428"/>
      <c r="C20" s="428"/>
      <c r="D20" s="428"/>
      <c r="E20" s="428"/>
      <c r="F20" s="31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48">
        <v>14</v>
      </c>
      <c r="B21" s="428"/>
      <c r="C21" s="428"/>
      <c r="D21" s="428"/>
      <c r="E21" s="428"/>
      <c r="F21" s="31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48">
        <v>15</v>
      </c>
      <c r="B22" s="428"/>
      <c r="C22" s="428"/>
      <c r="D22" s="428"/>
      <c r="E22" s="428"/>
      <c r="F22" s="31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48">
        <v>16</v>
      </c>
      <c r="B23" s="428"/>
      <c r="C23" s="428"/>
      <c r="D23" s="428"/>
      <c r="E23" s="428"/>
      <c r="F23" s="31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48">
        <v>17</v>
      </c>
      <c r="B24" s="428"/>
      <c r="C24" s="428"/>
      <c r="D24" s="428"/>
      <c r="E24" s="428"/>
      <c r="F24" s="31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48">
        <v>18</v>
      </c>
      <c r="B25" s="428"/>
      <c r="C25" s="428"/>
      <c r="D25" s="428"/>
      <c r="E25" s="428"/>
      <c r="F25" s="31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48">
        <v>19</v>
      </c>
      <c r="B26" s="428"/>
      <c r="C26" s="428"/>
      <c r="D26" s="428"/>
      <c r="E26" s="428"/>
      <c r="F26" s="31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48">
        <v>20</v>
      </c>
      <c r="B27" s="455"/>
      <c r="C27" s="428"/>
      <c r="D27" s="428"/>
      <c r="E27" s="428"/>
      <c r="F27" s="31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48">
        <v>21</v>
      </c>
      <c r="B28" s="428"/>
      <c r="C28" s="428"/>
      <c r="D28" s="428"/>
      <c r="E28" s="428"/>
      <c r="F28" s="31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48">
        <v>22</v>
      </c>
      <c r="B29" s="428"/>
      <c r="C29" s="428"/>
      <c r="D29" s="428"/>
      <c r="E29" s="428"/>
      <c r="F29" s="31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48">
        <v>23</v>
      </c>
      <c r="B30" s="428"/>
      <c r="C30" s="428"/>
      <c r="D30" s="428"/>
      <c r="E30" s="428"/>
      <c r="F30" s="31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48">
        <v>24</v>
      </c>
      <c r="B31" s="428"/>
      <c r="C31" s="428"/>
      <c r="D31" s="428"/>
      <c r="E31" s="428"/>
      <c r="F31" s="31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48">
        <v>25</v>
      </c>
      <c r="B32" s="428"/>
      <c r="C32" s="428"/>
      <c r="D32" s="428"/>
      <c r="E32" s="428"/>
      <c r="F32" s="31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48">
        <v>26</v>
      </c>
      <c r="B33" s="428"/>
      <c r="C33" s="428"/>
      <c r="D33" s="428"/>
      <c r="E33" s="428"/>
      <c r="F33" s="31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48">
        <v>27</v>
      </c>
      <c r="B34" s="428"/>
      <c r="C34" s="428"/>
      <c r="D34" s="428"/>
      <c r="E34" s="428"/>
      <c r="F34" s="31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48">
        <v>28</v>
      </c>
      <c r="B35" s="428"/>
      <c r="C35" s="428"/>
      <c r="D35" s="428"/>
      <c r="E35" s="428"/>
      <c r="F35" s="31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48">
        <v>29</v>
      </c>
      <c r="B36" s="428"/>
      <c r="C36" s="428"/>
      <c r="D36" s="428"/>
      <c r="E36" s="428"/>
      <c r="F36" s="31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48">
        <v>30</v>
      </c>
      <c r="B37" s="428"/>
      <c r="C37" s="428"/>
      <c r="D37" s="428"/>
      <c r="E37" s="428"/>
      <c r="F37" s="31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48">
        <v>31</v>
      </c>
      <c r="B38" s="428"/>
      <c r="C38" s="428"/>
      <c r="D38" s="428"/>
      <c r="E38" s="428"/>
      <c r="F38" s="31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48"/>
      <c r="B39" s="428">
        <f>SUM(B8:B38)</f>
        <v>139008</v>
      </c>
      <c r="C39" s="428">
        <f>SUM(C8:C38)</f>
        <v>120186</v>
      </c>
      <c r="D39" s="428">
        <f>SUM(D8:D38)</f>
        <v>-359</v>
      </c>
      <c r="E39" s="428">
        <f>SUM(E8:E38)</f>
        <v>0</v>
      </c>
      <c r="F39" s="428">
        <f>SUM(F8:F38)</f>
        <v>-18463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49"/>
      <c r="B40" s="292"/>
      <c r="C40" s="450"/>
      <c r="D40" s="450"/>
      <c r="E40" s="450"/>
      <c r="F40" s="451">
        <f>+summary!H4</f>
        <v>2.02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92"/>
      <c r="B41" s="292"/>
      <c r="C41" s="292"/>
      <c r="D41" s="292"/>
      <c r="E41" s="292"/>
      <c r="F41" s="452">
        <f>+F40*F39</f>
        <v>-37295.26</v>
      </c>
      <c r="J41" s="138"/>
      <c r="N41" s="138"/>
      <c r="R41" s="138"/>
      <c r="V41" s="138"/>
      <c r="Z41" s="138"/>
    </row>
    <row r="42" spans="1:26" ht="15" customHeight="1" x14ac:dyDescent="0.25">
      <c r="A42" s="56">
        <v>37225</v>
      </c>
      <c r="B42" s="292"/>
      <c r="C42" s="453"/>
      <c r="D42" s="453"/>
      <c r="E42" s="453"/>
      <c r="F42" s="558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37236</v>
      </c>
      <c r="B43" s="292"/>
      <c r="C43" s="454"/>
      <c r="D43" s="454"/>
      <c r="E43" s="454"/>
      <c r="F43" s="434">
        <f>+F42+F41</f>
        <v>355094.32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152</v>
      </c>
      <c r="B46" s="32"/>
      <c r="C46" s="32"/>
      <c r="D46" s="32"/>
      <c r="E46" s="11"/>
    </row>
    <row r="47" spans="1:26" x14ac:dyDescent="0.25">
      <c r="A47" s="49">
        <f>+A42</f>
        <v>37225</v>
      </c>
      <c r="B47" s="32"/>
      <c r="C47" s="32"/>
      <c r="D47" s="557">
        <v>-260608</v>
      </c>
      <c r="E47" s="11"/>
    </row>
    <row r="48" spans="1:26" x14ac:dyDescent="0.25">
      <c r="A48" s="49">
        <f>+A43</f>
        <v>37236</v>
      </c>
      <c r="B48" s="32"/>
      <c r="C48" s="32"/>
      <c r="D48" s="363">
        <f>+F39</f>
        <v>-18463</v>
      </c>
      <c r="E48" s="11"/>
    </row>
    <row r="49" spans="1:5" x14ac:dyDescent="0.25">
      <c r="A49" s="32"/>
      <c r="B49" s="32"/>
      <c r="C49" s="32"/>
      <c r="D49" s="14">
        <f>+D48+D47</f>
        <v>-279071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A25" sqref="A25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88</v>
      </c>
      <c r="B4" s="69"/>
      <c r="C4" s="288"/>
      <c r="D4" s="69"/>
    </row>
    <row r="5" spans="1:4" x14ac:dyDescent="0.2">
      <c r="B5" s="289" t="s">
        <v>20</v>
      </c>
      <c r="C5" s="289" t="s">
        <v>21</v>
      </c>
      <c r="D5" s="290" t="s">
        <v>50</v>
      </c>
    </row>
    <row r="6" spans="1:4" x14ac:dyDescent="0.2">
      <c r="A6" s="32">
        <v>1635</v>
      </c>
      <c r="B6" s="336">
        <v>-833448</v>
      </c>
      <c r="C6" s="80"/>
      <c r="D6" s="80">
        <f t="shared" ref="D6:D14" si="0">+C6-B6</f>
        <v>833448</v>
      </c>
    </row>
    <row r="7" spans="1:4" x14ac:dyDescent="0.2">
      <c r="A7" s="32">
        <v>3531</v>
      </c>
      <c r="B7" s="319">
        <v>-337735</v>
      </c>
      <c r="C7" s="80">
        <v>-132143</v>
      </c>
      <c r="D7" s="80">
        <f t="shared" si="0"/>
        <v>205592</v>
      </c>
    </row>
    <row r="8" spans="1:4" x14ac:dyDescent="0.2">
      <c r="A8" s="32">
        <v>60667</v>
      </c>
      <c r="B8" s="319">
        <v>-9394</v>
      </c>
      <c r="C8" s="80">
        <v>-963908</v>
      </c>
      <c r="D8" s="80">
        <f t="shared" si="0"/>
        <v>-954514</v>
      </c>
    </row>
    <row r="9" spans="1:4" x14ac:dyDescent="0.2">
      <c r="A9" s="32">
        <v>60749</v>
      </c>
      <c r="B9" s="319">
        <v>16714</v>
      </c>
      <c r="C9" s="80">
        <v>-185859</v>
      </c>
      <c r="D9" s="80">
        <f t="shared" si="0"/>
        <v>-202573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9">
        <v>-107375</v>
      </c>
      <c r="C11" s="80"/>
      <c r="D11" s="80">
        <f t="shared" si="0"/>
        <v>107375</v>
      </c>
    </row>
    <row r="12" spans="1:4" x14ac:dyDescent="0.2">
      <c r="A12" s="32">
        <v>62960</v>
      </c>
      <c r="B12" s="319"/>
      <c r="C12" s="80"/>
      <c r="D12" s="80">
        <f t="shared" si="0"/>
        <v>0</v>
      </c>
    </row>
    <row r="13" spans="1:4" x14ac:dyDescent="0.2">
      <c r="A13" s="291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-10672</v>
      </c>
    </row>
    <row r="19" spans="1:5" x14ac:dyDescent="0.2">
      <c r="A19" s="32" t="s">
        <v>82</v>
      </c>
      <c r="B19" s="69"/>
      <c r="C19" s="69"/>
      <c r="D19" s="73">
        <f>+summary!H4</f>
        <v>2.02</v>
      </c>
    </row>
    <row r="20" spans="1:5" x14ac:dyDescent="0.2">
      <c r="B20" s="69"/>
      <c r="C20" s="69"/>
      <c r="D20" s="75">
        <f>+D19*D18</f>
        <v>-21557.439999999999</v>
      </c>
    </row>
    <row r="21" spans="1:5" x14ac:dyDescent="0.2">
      <c r="B21" s="69"/>
      <c r="C21" s="80"/>
      <c r="D21" s="295"/>
      <c r="E21" s="252"/>
    </row>
    <row r="22" spans="1:5" x14ac:dyDescent="0.2">
      <c r="A22" s="49">
        <v>37225</v>
      </c>
      <c r="B22" s="69"/>
      <c r="C22" s="80"/>
      <c r="D22" s="547">
        <v>723510.56</v>
      </c>
      <c r="E22" s="252"/>
    </row>
    <row r="23" spans="1:5" x14ac:dyDescent="0.2">
      <c r="B23" s="69"/>
      <c r="C23" s="80"/>
      <c r="D23" s="295"/>
      <c r="E23" s="252"/>
    </row>
    <row r="24" spans="1:5" ht="10.8" thickBot="1" x14ac:dyDescent="0.25">
      <c r="A24" s="49">
        <v>37236</v>
      </c>
      <c r="B24" s="69"/>
      <c r="C24" s="69"/>
      <c r="D24" s="343">
        <f>+D22+D20</f>
        <v>701953.12000000011</v>
      </c>
      <c r="E24" s="252"/>
    </row>
    <row r="25" spans="1:5" ht="10.8" thickTop="1" x14ac:dyDescent="0.2">
      <c r="B25" s="69"/>
      <c r="C25" s="69"/>
      <c r="D25" s="69"/>
      <c r="E25" s="252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48">
        <v>125165</v>
      </c>
    </row>
    <row r="33" spans="1:4" x14ac:dyDescent="0.2">
      <c r="A33" s="49">
        <f>+A24</f>
        <v>37236</v>
      </c>
      <c r="D33" s="363">
        <f>+D18</f>
        <v>-10672</v>
      </c>
    </row>
    <row r="34" spans="1:4" x14ac:dyDescent="0.2">
      <c r="D34" s="14">
        <f>+D33+D32</f>
        <v>114493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2" sqref="C12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56" customWidth="1"/>
  </cols>
  <sheetData>
    <row r="3" spans="1:13" x14ac:dyDescent="0.25">
      <c r="A3" s="3" t="s">
        <v>84</v>
      </c>
      <c r="B3" s="88"/>
      <c r="C3" s="262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9236</v>
      </c>
      <c r="B5" s="90">
        <v>-39398</v>
      </c>
      <c r="C5" s="90">
        <v>-19492</v>
      </c>
      <c r="D5" s="90">
        <f t="shared" ref="D5:D13" si="0">+C5-B5</f>
        <v>19906</v>
      </c>
      <c r="E5" s="69"/>
      <c r="F5" s="203"/>
    </row>
    <row r="6" spans="1:13" x14ac:dyDescent="0.25">
      <c r="A6" s="87">
        <v>9238</v>
      </c>
      <c r="B6" s="90"/>
      <c r="C6" s="90"/>
      <c r="D6" s="90">
        <f t="shared" si="0"/>
        <v>0</v>
      </c>
      <c r="E6" s="282"/>
      <c r="F6" s="203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90">
        <v>-888354</v>
      </c>
      <c r="C7" s="90">
        <v>-1121791</v>
      </c>
      <c r="D7" s="90">
        <f t="shared" si="0"/>
        <v>-233437</v>
      </c>
      <c r="E7" s="282"/>
      <c r="F7" s="203"/>
    </row>
    <row r="8" spans="1:13" x14ac:dyDescent="0.25">
      <c r="A8" s="87">
        <v>58710</v>
      </c>
      <c r="B8" s="90">
        <v>-42802</v>
      </c>
      <c r="C8" s="90">
        <v>-30869</v>
      </c>
      <c r="D8" s="90">
        <f t="shared" si="0"/>
        <v>11933</v>
      </c>
      <c r="E8" s="282"/>
      <c r="F8" s="203"/>
    </row>
    <row r="9" spans="1:13" x14ac:dyDescent="0.25">
      <c r="A9" s="87">
        <v>60921</v>
      </c>
      <c r="B9" s="90">
        <v>-529081</v>
      </c>
      <c r="C9" s="90">
        <v>-300954</v>
      </c>
      <c r="D9" s="90">
        <f t="shared" si="0"/>
        <v>228127</v>
      </c>
      <c r="E9" s="282"/>
      <c r="F9" s="203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82"/>
      <c r="F10" s="521"/>
    </row>
    <row r="11" spans="1:13" x14ac:dyDescent="0.25">
      <c r="A11" s="87">
        <v>500084</v>
      </c>
      <c r="B11" s="90">
        <f>-23241-2261</f>
        <v>-25502</v>
      </c>
      <c r="C11" s="90">
        <v>-33000</v>
      </c>
      <c r="D11" s="90">
        <f t="shared" si="0"/>
        <v>-7498</v>
      </c>
      <c r="E11" s="283"/>
      <c r="F11" s="521"/>
    </row>
    <row r="12" spans="1:13" x14ac:dyDescent="0.25">
      <c r="A12" s="328">
        <v>500085</v>
      </c>
      <c r="B12" s="90">
        <v>-3058</v>
      </c>
      <c r="C12" s="90"/>
      <c r="D12" s="90">
        <f t="shared" si="0"/>
        <v>3058</v>
      </c>
      <c r="E12" s="282"/>
      <c r="F12" s="521"/>
    </row>
    <row r="13" spans="1:13" x14ac:dyDescent="0.25">
      <c r="A13" s="87">
        <v>500097</v>
      </c>
      <c r="B13" s="90">
        <v>-17244</v>
      </c>
      <c r="C13" s="90">
        <v>-11000</v>
      </c>
      <c r="D13" s="90">
        <f t="shared" si="0"/>
        <v>6244</v>
      </c>
      <c r="E13" s="282"/>
      <c r="F13" s="521"/>
    </row>
    <row r="14" spans="1:13" x14ac:dyDescent="0.25">
      <c r="A14" s="87"/>
      <c r="B14" s="90"/>
      <c r="C14" s="90"/>
      <c r="D14" s="90"/>
      <c r="E14" s="282"/>
      <c r="F14" s="521"/>
    </row>
    <row r="15" spans="1:13" x14ac:dyDescent="0.25">
      <c r="A15" s="87"/>
      <c r="B15" s="90"/>
      <c r="C15" s="90"/>
      <c r="D15" s="90"/>
      <c r="E15" s="282"/>
      <c r="F15" s="521"/>
    </row>
    <row r="16" spans="1:13" x14ac:dyDescent="0.25">
      <c r="A16" s="87"/>
      <c r="B16" s="88"/>
      <c r="C16" s="88"/>
      <c r="D16" s="94"/>
      <c r="E16" s="282"/>
      <c r="F16" s="521"/>
    </row>
    <row r="17" spans="1:7" x14ac:dyDescent="0.25">
      <c r="A17" s="87"/>
      <c r="B17" s="88"/>
      <c r="C17" s="88"/>
      <c r="D17" s="88">
        <f>SUM(D5:D16)</f>
        <v>28333</v>
      </c>
      <c r="E17" s="282"/>
      <c r="F17" s="521"/>
    </row>
    <row r="18" spans="1:7" x14ac:dyDescent="0.25">
      <c r="A18" s="87" t="s">
        <v>82</v>
      </c>
      <c r="B18" s="88"/>
      <c r="C18" s="88"/>
      <c r="D18" s="95">
        <f>+summary!H4</f>
        <v>2.02</v>
      </c>
      <c r="E18" s="284"/>
      <c r="F18" s="521"/>
    </row>
    <row r="19" spans="1:7" x14ac:dyDescent="0.25">
      <c r="A19" s="87"/>
      <c r="B19" s="88"/>
      <c r="C19" s="88"/>
      <c r="D19" s="96">
        <f>+D18*D17</f>
        <v>57232.66</v>
      </c>
      <c r="E19" s="209"/>
      <c r="F19" s="521"/>
    </row>
    <row r="20" spans="1:7" x14ac:dyDescent="0.25">
      <c r="A20" s="87"/>
      <c r="B20" s="88"/>
      <c r="C20" s="88"/>
      <c r="D20" s="96"/>
      <c r="E20" s="209"/>
      <c r="F20" s="203"/>
    </row>
    <row r="21" spans="1:7" x14ac:dyDescent="0.25">
      <c r="A21" s="99">
        <v>37225</v>
      </c>
      <c r="B21" s="88"/>
      <c r="C21" s="88"/>
      <c r="D21" s="564">
        <v>504796.07</v>
      </c>
      <c r="E21" s="209"/>
      <c r="F21" s="522"/>
    </row>
    <row r="22" spans="1:7" x14ac:dyDescent="0.25">
      <c r="A22" s="87"/>
      <c r="B22" s="88"/>
      <c r="C22" s="88"/>
      <c r="D22" s="318"/>
      <c r="E22" s="209"/>
      <c r="F22" s="522"/>
    </row>
    <row r="23" spans="1:7" ht="13.8" thickBot="1" x14ac:dyDescent="0.3">
      <c r="A23" s="99">
        <v>37236</v>
      </c>
      <c r="B23" s="88"/>
      <c r="C23" s="88"/>
      <c r="D23" s="329">
        <f>+D21+D19</f>
        <v>562028.73</v>
      </c>
      <c r="E23" s="209"/>
      <c r="F23" s="522"/>
    </row>
    <row r="24" spans="1:7" ht="13.8" thickTop="1" x14ac:dyDescent="0.25">
      <c r="E24" s="285"/>
    </row>
    <row r="25" spans="1:7" x14ac:dyDescent="0.25">
      <c r="E25" s="285"/>
    </row>
    <row r="27" spans="1:7" x14ac:dyDescent="0.25">
      <c r="A27" s="32" t="s">
        <v>152</v>
      </c>
      <c r="B27" s="32"/>
      <c r="C27" s="32"/>
      <c r="D27" s="32"/>
    </row>
    <row r="28" spans="1:7" x14ac:dyDescent="0.25">
      <c r="A28" s="49">
        <f>+A21</f>
        <v>37225</v>
      </c>
      <c r="B28" s="32"/>
      <c r="C28" s="32"/>
      <c r="D28" s="557">
        <v>190825</v>
      </c>
    </row>
    <row r="29" spans="1:7" x14ac:dyDescent="0.25">
      <c r="A29" s="49">
        <f>+A23</f>
        <v>37236</v>
      </c>
      <c r="B29" s="32"/>
      <c r="C29" s="32"/>
      <c r="D29" s="363">
        <f>+D17</f>
        <v>28333</v>
      </c>
    </row>
    <row r="30" spans="1:7" x14ac:dyDescent="0.25">
      <c r="A30" s="32"/>
      <c r="B30" s="32"/>
      <c r="C30" s="32"/>
      <c r="D30" s="14">
        <f>+D29+D28</f>
        <v>219158</v>
      </c>
      <c r="E30" s="356"/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203"/>
      <c r="E32" s="70"/>
      <c r="F32" s="203"/>
      <c r="G32" s="32"/>
    </row>
    <row r="33" spans="1:7" x14ac:dyDescent="0.25">
      <c r="B33" s="69"/>
      <c r="C33" s="69"/>
      <c r="D33" s="203"/>
      <c r="E33" s="69"/>
      <c r="F33" s="203"/>
      <c r="G33" s="32"/>
    </row>
    <row r="34" spans="1:7" x14ac:dyDescent="0.25">
      <c r="B34" s="69"/>
      <c r="C34" s="69"/>
      <c r="D34" s="69"/>
      <c r="E34" s="69"/>
      <c r="F34" s="203"/>
      <c r="G34" s="32"/>
    </row>
    <row r="35" spans="1:7" x14ac:dyDescent="0.25">
      <c r="B35" s="69"/>
      <c r="C35" s="69"/>
      <c r="D35" s="69"/>
      <c r="E35" s="69"/>
      <c r="F35" s="203"/>
      <c r="G35" s="32"/>
    </row>
    <row r="36" spans="1:7" x14ac:dyDescent="0.25">
      <c r="B36" s="69"/>
      <c r="C36" s="69"/>
      <c r="D36" s="301"/>
      <c r="E36" s="69"/>
      <c r="F36" s="203"/>
      <c r="G36" s="32"/>
    </row>
    <row r="37" spans="1:7" x14ac:dyDescent="0.25">
      <c r="B37" s="69"/>
      <c r="C37" s="69"/>
      <c r="D37" s="301"/>
      <c r="E37" s="69"/>
      <c r="F37" s="203"/>
      <c r="G37" s="32"/>
    </row>
    <row r="38" spans="1:7" x14ac:dyDescent="0.25">
      <c r="B38" s="69"/>
      <c r="C38" s="69"/>
      <c r="D38" s="301"/>
      <c r="E38" s="69"/>
      <c r="F38" s="203"/>
      <c r="G38" s="32"/>
    </row>
    <row r="39" spans="1:7" x14ac:dyDescent="0.25">
      <c r="B39" s="69"/>
      <c r="C39" s="69"/>
      <c r="D39" s="301"/>
      <c r="E39" s="69"/>
      <c r="F39" s="203"/>
      <c r="G39" s="32"/>
    </row>
    <row r="40" spans="1:7" x14ac:dyDescent="0.25">
      <c r="B40" s="69"/>
      <c r="C40" s="69"/>
      <c r="D40" s="301"/>
      <c r="E40" s="69"/>
      <c r="F40" s="203"/>
      <c r="G40" s="32"/>
    </row>
    <row r="41" spans="1:7" x14ac:dyDescent="0.25">
      <c r="B41" s="69"/>
      <c r="C41" s="69"/>
      <c r="D41" s="301"/>
      <c r="E41" s="69"/>
      <c r="F41" s="203"/>
      <c r="G41" s="32"/>
    </row>
    <row r="42" spans="1:7" x14ac:dyDescent="0.25">
      <c r="B42" s="69"/>
      <c r="C42" s="69"/>
      <c r="D42" s="301"/>
      <c r="E42" s="69"/>
      <c r="F42" s="203"/>
      <c r="G42" s="32"/>
    </row>
    <row r="43" spans="1:7" x14ac:dyDescent="0.25">
      <c r="B43" s="69"/>
      <c r="C43" s="69"/>
      <c r="D43" s="301"/>
      <c r="E43" s="69"/>
      <c r="F43" s="203"/>
      <c r="G43" s="32"/>
    </row>
    <row r="44" spans="1:7" x14ac:dyDescent="0.25">
      <c r="B44" s="69"/>
      <c r="C44" s="69"/>
      <c r="D44" s="302"/>
      <c r="E44" s="282"/>
      <c r="F44" s="521"/>
      <c r="G44" s="206"/>
    </row>
    <row r="45" spans="1:7" x14ac:dyDescent="0.25">
      <c r="B45" s="69"/>
      <c r="C45" s="69"/>
      <c r="D45" s="302"/>
      <c r="E45" s="282"/>
      <c r="F45" s="521"/>
      <c r="G45" s="206"/>
    </row>
    <row r="46" spans="1:7" x14ac:dyDescent="0.25">
      <c r="A46" s="32"/>
      <c r="B46" s="69"/>
      <c r="C46" s="69"/>
      <c r="D46" s="282"/>
      <c r="E46" s="282"/>
      <c r="F46" s="521"/>
      <c r="G46" s="206"/>
    </row>
    <row r="47" spans="1:7" x14ac:dyDescent="0.25">
      <c r="A47" s="32"/>
      <c r="B47" s="69"/>
      <c r="C47" s="69"/>
      <c r="D47" s="284"/>
      <c r="E47" s="284"/>
      <c r="F47" s="521"/>
      <c r="G47" s="206"/>
    </row>
    <row r="48" spans="1:7" x14ac:dyDescent="0.25">
      <c r="B48" s="69"/>
      <c r="C48" s="69"/>
      <c r="D48" s="282"/>
      <c r="E48" s="282"/>
      <c r="F48" s="521"/>
      <c r="G48" s="206"/>
    </row>
    <row r="49" spans="1:7" x14ac:dyDescent="0.25">
      <c r="B49" s="69"/>
      <c r="C49" s="69"/>
      <c r="D49" s="282"/>
      <c r="E49" s="282"/>
      <c r="F49" s="521"/>
      <c r="G49" s="206"/>
    </row>
    <row r="50" spans="1:7" x14ac:dyDescent="0.25">
      <c r="C50" s="299"/>
      <c r="D50" s="299"/>
      <c r="E50" s="299"/>
      <c r="F50" s="523"/>
      <c r="G50" s="300"/>
    </row>
    <row r="51" spans="1:7" x14ac:dyDescent="0.25">
      <c r="A51" s="32"/>
      <c r="C51" s="299"/>
      <c r="D51" s="299"/>
      <c r="E51" s="299"/>
      <c r="F51" s="523"/>
    </row>
    <row r="52" spans="1:7" x14ac:dyDescent="0.25">
      <c r="A52" s="32"/>
      <c r="C52" s="299"/>
      <c r="D52" s="299"/>
      <c r="E52" s="299"/>
      <c r="F52" s="523"/>
    </row>
    <row r="53" spans="1:7" x14ac:dyDescent="0.25">
      <c r="A53" s="32"/>
      <c r="C53" s="299"/>
      <c r="D53" s="299"/>
      <c r="E53" s="299"/>
      <c r="F53" s="523"/>
    </row>
    <row r="54" spans="1:7" x14ac:dyDescent="0.25">
      <c r="A54" s="32"/>
      <c r="C54" s="299"/>
      <c r="D54" s="299"/>
      <c r="E54" s="299"/>
      <c r="F54" s="523"/>
    </row>
    <row r="55" spans="1:7" x14ac:dyDescent="0.25">
      <c r="A55" s="32"/>
      <c r="C55" s="299"/>
      <c r="D55" s="299"/>
      <c r="E55" s="285"/>
      <c r="F55" s="439"/>
    </row>
    <row r="56" spans="1:7" x14ac:dyDescent="0.25">
      <c r="C56" s="299"/>
      <c r="D56" s="299"/>
      <c r="E56" s="285"/>
      <c r="F56" s="439"/>
    </row>
    <row r="57" spans="1:7" x14ac:dyDescent="0.25">
      <c r="C57" s="299"/>
      <c r="D57" s="299"/>
      <c r="E57" s="285"/>
      <c r="F57" s="439"/>
    </row>
    <row r="82" spans="1:6" x14ac:dyDescent="0.25">
      <c r="B82" s="69"/>
      <c r="C82" s="69"/>
      <c r="D82" s="69"/>
      <c r="E82" s="70"/>
      <c r="F82" s="203"/>
    </row>
    <row r="83" spans="1:6" x14ac:dyDescent="0.25">
      <c r="B83" s="69"/>
      <c r="C83" s="69"/>
      <c r="D83" s="69"/>
      <c r="E83" s="69"/>
      <c r="F83" s="203"/>
    </row>
    <row r="84" spans="1:6" x14ac:dyDescent="0.25">
      <c r="B84" s="69"/>
      <c r="C84" s="69"/>
      <c r="D84" s="69"/>
      <c r="E84" s="69"/>
      <c r="F84" s="203"/>
    </row>
    <row r="85" spans="1:6" x14ac:dyDescent="0.25">
      <c r="B85" s="69"/>
      <c r="C85" s="69"/>
      <c r="D85" s="69"/>
      <c r="E85" s="69"/>
      <c r="F85" s="203"/>
    </row>
    <row r="86" spans="1:6" x14ac:dyDescent="0.25">
      <c r="B86" s="69"/>
      <c r="C86" s="69"/>
      <c r="D86" s="69"/>
      <c r="E86" s="69"/>
      <c r="F86" s="203"/>
    </row>
    <row r="87" spans="1:6" x14ac:dyDescent="0.25">
      <c r="B87" s="69"/>
      <c r="C87" s="69"/>
      <c r="D87" s="69"/>
      <c r="E87" s="69"/>
      <c r="F87" s="203"/>
    </row>
    <row r="88" spans="1:6" x14ac:dyDescent="0.25">
      <c r="B88" s="69"/>
      <c r="C88" s="69"/>
      <c r="D88" s="69"/>
      <c r="E88" s="69"/>
      <c r="F88" s="203"/>
    </row>
    <row r="89" spans="1:6" x14ac:dyDescent="0.25">
      <c r="B89" s="69"/>
      <c r="C89" s="69"/>
      <c r="D89" s="69"/>
      <c r="E89" s="69"/>
      <c r="F89" s="203"/>
    </row>
    <row r="90" spans="1:6" x14ac:dyDescent="0.25">
      <c r="B90" s="69"/>
      <c r="C90" s="69"/>
      <c r="D90" s="69"/>
      <c r="E90" s="69"/>
      <c r="F90" s="203"/>
    </row>
    <row r="91" spans="1:6" x14ac:dyDescent="0.25">
      <c r="B91" s="69"/>
      <c r="C91" s="69"/>
      <c r="D91" s="69"/>
      <c r="E91" s="69"/>
      <c r="F91" s="203"/>
    </row>
    <row r="92" spans="1:6" x14ac:dyDescent="0.25">
      <c r="B92" s="69"/>
      <c r="C92" s="69"/>
      <c r="D92" s="69"/>
      <c r="E92" s="69"/>
      <c r="F92" s="203"/>
    </row>
    <row r="93" spans="1:6" x14ac:dyDescent="0.25">
      <c r="B93" s="69"/>
      <c r="C93" s="69"/>
      <c r="D93" s="69"/>
      <c r="E93" s="69"/>
      <c r="F93" s="203"/>
    </row>
    <row r="94" spans="1:6" x14ac:dyDescent="0.25">
      <c r="B94" s="69"/>
      <c r="C94" s="69"/>
      <c r="D94" s="69"/>
      <c r="E94" s="69"/>
      <c r="F94" s="203"/>
    </row>
    <row r="95" spans="1:6" x14ac:dyDescent="0.25">
      <c r="B95" s="69"/>
      <c r="C95" s="69"/>
      <c r="D95" s="71"/>
      <c r="E95" s="71"/>
      <c r="F95" s="524"/>
    </row>
    <row r="96" spans="1:6" x14ac:dyDescent="0.25">
      <c r="A96" s="32"/>
      <c r="B96" s="69"/>
      <c r="C96" s="69"/>
      <c r="D96" s="69"/>
      <c r="E96" s="69"/>
      <c r="F96" s="203"/>
    </row>
    <row r="97" spans="1:6" x14ac:dyDescent="0.25">
      <c r="A97" s="32"/>
      <c r="B97" s="69"/>
      <c r="C97" s="69"/>
      <c r="D97" s="73"/>
      <c r="E97" s="73"/>
      <c r="F97" s="203"/>
    </row>
    <row r="98" spans="1:6" x14ac:dyDescent="0.25">
      <c r="B98" s="69"/>
      <c r="C98" s="69"/>
      <c r="D98" s="69"/>
      <c r="E98" s="69"/>
      <c r="F98" s="203"/>
    </row>
    <row r="99" spans="1:6" x14ac:dyDescent="0.25">
      <c r="B99" s="69"/>
      <c r="C99" s="69"/>
      <c r="D99" s="69"/>
      <c r="E99" s="69"/>
      <c r="F99" s="203"/>
    </row>
    <row r="100" spans="1:6" x14ac:dyDescent="0.25">
      <c r="A100" s="32"/>
      <c r="D100" s="67"/>
      <c r="E100" s="67"/>
      <c r="F100" s="522"/>
    </row>
    <row r="101" spans="1:6" x14ac:dyDescent="0.25">
      <c r="A101" s="32"/>
      <c r="E101" s="63"/>
      <c r="F101" s="522"/>
    </row>
    <row r="102" spans="1:6" ht="13.8" thickBot="1" x14ac:dyDescent="0.3">
      <c r="A102" s="32"/>
      <c r="D102" s="68"/>
      <c r="E102" s="68"/>
      <c r="F102" s="522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3"/>
    </row>
    <row r="109" spans="1:6" x14ac:dyDescent="0.25">
      <c r="B109" s="69"/>
      <c r="C109" s="69"/>
      <c r="D109" s="69"/>
      <c r="E109" s="69"/>
      <c r="F109" s="203"/>
    </row>
    <row r="110" spans="1:6" x14ac:dyDescent="0.25">
      <c r="B110" s="69"/>
      <c r="C110" s="69"/>
      <c r="D110" s="69"/>
      <c r="E110" s="69"/>
      <c r="F110" s="203"/>
    </row>
    <row r="111" spans="1:6" x14ac:dyDescent="0.25">
      <c r="B111" s="69"/>
      <c r="C111" s="69"/>
      <c r="D111" s="69"/>
      <c r="E111" s="69"/>
      <c r="F111" s="203"/>
    </row>
    <row r="112" spans="1:6" x14ac:dyDescent="0.25">
      <c r="B112" s="69"/>
      <c r="C112" s="69"/>
      <c r="D112" s="69"/>
      <c r="E112" s="69"/>
      <c r="F112" s="203"/>
    </row>
    <row r="113" spans="1:6" x14ac:dyDescent="0.25">
      <c r="B113" s="69"/>
      <c r="C113" s="69"/>
      <c r="D113" s="69"/>
      <c r="E113" s="69"/>
      <c r="F113" s="203"/>
    </row>
    <row r="114" spans="1:6" x14ac:dyDescent="0.25">
      <c r="B114" s="69"/>
      <c r="C114" s="69"/>
      <c r="D114" s="69"/>
      <c r="E114" s="69"/>
      <c r="F114" s="203"/>
    </row>
    <row r="115" spans="1:6" x14ac:dyDescent="0.25">
      <c r="B115" s="69"/>
      <c r="C115" s="69"/>
      <c r="D115" s="69"/>
      <c r="E115" s="69"/>
      <c r="F115" s="203"/>
    </row>
    <row r="116" spans="1:6" x14ac:dyDescent="0.25">
      <c r="B116" s="69"/>
      <c r="C116" s="69"/>
      <c r="D116" s="69"/>
      <c r="E116" s="69"/>
      <c r="F116" s="203"/>
    </row>
    <row r="117" spans="1:6" x14ac:dyDescent="0.25">
      <c r="B117" s="69"/>
      <c r="C117" s="69"/>
      <c r="D117" s="69"/>
      <c r="E117" s="69"/>
      <c r="F117" s="203"/>
    </row>
    <row r="118" spans="1:6" x14ac:dyDescent="0.25">
      <c r="B118" s="69"/>
      <c r="C118" s="69"/>
      <c r="D118" s="69"/>
      <c r="E118" s="69"/>
      <c r="F118" s="203"/>
    </row>
    <row r="119" spans="1:6" x14ac:dyDescent="0.25">
      <c r="B119" s="69"/>
      <c r="C119" s="69"/>
      <c r="D119" s="69"/>
      <c r="E119" s="69"/>
      <c r="F119" s="203"/>
    </row>
    <row r="120" spans="1:6" x14ac:dyDescent="0.25">
      <c r="B120" s="69"/>
      <c r="C120" s="69"/>
      <c r="D120" s="69"/>
      <c r="E120" s="69"/>
      <c r="F120" s="203"/>
    </row>
    <row r="121" spans="1:6" x14ac:dyDescent="0.25">
      <c r="B121" s="69"/>
      <c r="C121" s="69"/>
      <c r="D121" s="71"/>
      <c r="E121" s="71"/>
      <c r="F121" s="524"/>
    </row>
    <row r="122" spans="1:6" x14ac:dyDescent="0.25">
      <c r="A122" s="32"/>
      <c r="B122" s="69"/>
      <c r="C122" s="69"/>
      <c r="D122" s="69"/>
      <c r="E122" s="69"/>
      <c r="F122" s="203"/>
    </row>
    <row r="123" spans="1:6" x14ac:dyDescent="0.25">
      <c r="A123" s="32"/>
      <c r="B123" s="69"/>
      <c r="C123" s="69"/>
      <c r="D123" s="73"/>
      <c r="E123" s="73"/>
      <c r="F123" s="203"/>
    </row>
    <row r="124" spans="1:6" x14ac:dyDescent="0.25">
      <c r="B124" s="69"/>
      <c r="C124" s="69"/>
      <c r="D124" s="75"/>
      <c r="E124" s="75"/>
      <c r="F124" s="203"/>
    </row>
    <row r="125" spans="1:6" x14ac:dyDescent="0.25">
      <c r="B125" s="69"/>
      <c r="C125" s="69"/>
      <c r="D125" s="75"/>
      <c r="E125" s="75"/>
      <c r="F125" s="203"/>
    </row>
    <row r="126" spans="1:6" x14ac:dyDescent="0.25">
      <c r="A126" s="32"/>
      <c r="D126" s="76"/>
      <c r="E126" s="76"/>
      <c r="F126" s="522"/>
    </row>
    <row r="127" spans="1:6" x14ac:dyDescent="0.25">
      <c r="A127" s="32"/>
      <c r="D127" s="75"/>
      <c r="E127" s="75"/>
      <c r="F127" s="522"/>
    </row>
    <row r="128" spans="1:6" ht="13.8" thickBot="1" x14ac:dyDescent="0.3">
      <c r="A128" s="32"/>
      <c r="D128" s="77"/>
      <c r="E128" s="77"/>
      <c r="F128" s="522"/>
    </row>
    <row r="129" spans="2:6" ht="13.8" thickTop="1" x14ac:dyDescent="0.25"/>
    <row r="133" spans="2:6" x14ac:dyDescent="0.25">
      <c r="B133" s="69"/>
      <c r="C133" s="69"/>
      <c r="D133" s="69"/>
      <c r="E133" s="70"/>
      <c r="F133" s="203"/>
    </row>
    <row r="134" spans="2:6" x14ac:dyDescent="0.25">
      <c r="B134" s="69"/>
      <c r="C134" s="69"/>
      <c r="D134" s="69"/>
      <c r="E134" s="69"/>
      <c r="F134" s="203"/>
    </row>
    <row r="135" spans="2:6" x14ac:dyDescent="0.25">
      <c r="B135" s="69"/>
      <c r="C135" s="69"/>
      <c r="D135" s="69"/>
      <c r="E135" s="69"/>
      <c r="F135" s="203"/>
    </row>
    <row r="136" spans="2:6" x14ac:dyDescent="0.25">
      <c r="B136" s="69"/>
      <c r="C136" s="69"/>
      <c r="D136" s="69"/>
      <c r="E136" s="69"/>
      <c r="F136" s="203"/>
    </row>
    <row r="137" spans="2:6" x14ac:dyDescent="0.25">
      <c r="B137" s="69"/>
      <c r="C137" s="69"/>
      <c r="D137" s="69"/>
      <c r="E137" s="69"/>
      <c r="F137" s="203"/>
    </row>
    <row r="138" spans="2:6" x14ac:dyDescent="0.25">
      <c r="B138" s="69"/>
      <c r="C138" s="69"/>
      <c r="D138" s="69"/>
      <c r="E138" s="69"/>
      <c r="F138" s="203"/>
    </row>
    <row r="139" spans="2:6" x14ac:dyDescent="0.25">
      <c r="B139" s="69"/>
      <c r="C139" s="69"/>
      <c r="D139" s="69"/>
      <c r="E139" s="69"/>
      <c r="F139" s="203"/>
    </row>
    <row r="140" spans="2:6" x14ac:dyDescent="0.25">
      <c r="B140" s="69"/>
      <c r="C140" s="69"/>
      <c r="D140" s="69"/>
      <c r="E140" s="69"/>
      <c r="F140" s="203"/>
    </row>
    <row r="141" spans="2:6" x14ac:dyDescent="0.25">
      <c r="B141" s="69"/>
      <c r="C141" s="69"/>
      <c r="D141" s="69"/>
      <c r="E141" s="69"/>
      <c r="F141" s="203"/>
    </row>
    <row r="142" spans="2:6" x14ac:dyDescent="0.25">
      <c r="B142" s="69"/>
      <c r="C142" s="69"/>
      <c r="D142" s="69"/>
      <c r="E142" s="69"/>
      <c r="F142" s="203"/>
    </row>
    <row r="143" spans="2:6" x14ac:dyDescent="0.25">
      <c r="B143" s="69"/>
      <c r="C143" s="69"/>
      <c r="D143" s="69"/>
      <c r="E143" s="69"/>
      <c r="F143" s="203"/>
    </row>
    <row r="144" spans="2:6" x14ac:dyDescent="0.25">
      <c r="B144" s="69"/>
      <c r="C144" s="69"/>
      <c r="D144" s="69"/>
      <c r="E144" s="69"/>
      <c r="F144" s="203"/>
    </row>
    <row r="145" spans="1:6" x14ac:dyDescent="0.25">
      <c r="B145" s="69"/>
      <c r="C145" s="69"/>
      <c r="D145" s="69"/>
      <c r="E145" s="69"/>
      <c r="F145" s="203"/>
    </row>
    <row r="146" spans="1:6" x14ac:dyDescent="0.25">
      <c r="B146" s="69"/>
      <c r="C146" s="69"/>
      <c r="D146" s="71"/>
      <c r="E146" s="71"/>
      <c r="F146" s="524"/>
    </row>
    <row r="147" spans="1:6" x14ac:dyDescent="0.25">
      <c r="A147" s="32"/>
      <c r="B147" s="69"/>
      <c r="C147" s="69"/>
      <c r="D147" s="69"/>
      <c r="E147" s="69"/>
      <c r="F147" s="203"/>
    </row>
    <row r="148" spans="1:6" x14ac:dyDescent="0.25">
      <c r="A148" s="32"/>
      <c r="B148" s="69"/>
      <c r="C148" s="69"/>
      <c r="D148" s="73"/>
      <c r="E148" s="73"/>
      <c r="F148" s="203"/>
    </row>
    <row r="149" spans="1:6" x14ac:dyDescent="0.25">
      <c r="B149" s="69"/>
      <c r="C149" s="69"/>
      <c r="D149" s="75"/>
      <c r="E149" s="75"/>
      <c r="F149" s="203"/>
    </row>
    <row r="150" spans="1:6" x14ac:dyDescent="0.25">
      <c r="B150" s="69"/>
      <c r="C150" s="69"/>
      <c r="D150" s="75"/>
      <c r="E150" s="75"/>
      <c r="F150" s="203"/>
    </row>
    <row r="151" spans="1:6" x14ac:dyDescent="0.25">
      <c r="A151" s="32"/>
      <c r="D151" s="76"/>
      <c r="E151" s="76"/>
      <c r="F151" s="522"/>
    </row>
    <row r="152" spans="1:6" x14ac:dyDescent="0.25">
      <c r="A152" s="32"/>
      <c r="D152" s="75"/>
      <c r="E152" s="75"/>
      <c r="F152" s="522"/>
    </row>
    <row r="153" spans="1:6" ht="13.8" thickBot="1" x14ac:dyDescent="0.3">
      <c r="A153" s="32"/>
      <c r="D153" s="77"/>
      <c r="E153" s="77"/>
      <c r="F153" s="522"/>
    </row>
    <row r="154" spans="1:6" ht="13.8" thickTop="1" x14ac:dyDescent="0.25"/>
    <row r="158" spans="1:6" x14ac:dyDescent="0.25">
      <c r="B158" s="69"/>
      <c r="C158" s="69"/>
      <c r="D158" s="69"/>
      <c r="E158" s="70"/>
      <c r="F158" s="203"/>
    </row>
    <row r="159" spans="1:6" x14ac:dyDescent="0.25">
      <c r="B159" s="78"/>
      <c r="C159" s="69"/>
      <c r="D159" s="69"/>
      <c r="E159" s="69"/>
      <c r="F159" s="203"/>
    </row>
    <row r="160" spans="1:6" x14ac:dyDescent="0.25">
      <c r="B160" s="69"/>
      <c r="C160" s="69"/>
      <c r="D160" s="69"/>
      <c r="E160" s="69"/>
      <c r="F160" s="203"/>
    </row>
    <row r="161" spans="1:6" x14ac:dyDescent="0.25">
      <c r="B161" s="78"/>
      <c r="C161" s="69"/>
      <c r="D161" s="69"/>
      <c r="E161" s="69"/>
      <c r="F161" s="203"/>
    </row>
    <row r="162" spans="1:6" x14ac:dyDescent="0.25">
      <c r="B162" s="69"/>
      <c r="C162" s="69"/>
      <c r="D162" s="69"/>
      <c r="E162" s="69"/>
      <c r="F162" s="203"/>
    </row>
    <row r="163" spans="1:6" x14ac:dyDescent="0.25">
      <c r="B163" s="69"/>
      <c r="C163" s="69"/>
      <c r="D163" s="69"/>
      <c r="E163" s="69"/>
      <c r="F163" s="203"/>
    </row>
    <row r="164" spans="1:6" x14ac:dyDescent="0.25">
      <c r="B164" s="78"/>
      <c r="C164" s="69"/>
      <c r="D164" s="69"/>
      <c r="E164" s="69"/>
      <c r="F164" s="203"/>
    </row>
    <row r="165" spans="1:6" x14ac:dyDescent="0.25">
      <c r="B165" s="69"/>
      <c r="C165" s="69"/>
      <c r="D165" s="69"/>
      <c r="E165" s="69"/>
      <c r="F165" s="203"/>
    </row>
    <row r="166" spans="1:6" x14ac:dyDescent="0.25">
      <c r="B166" s="69"/>
      <c r="C166" s="69"/>
      <c r="D166" s="69"/>
      <c r="E166" s="69"/>
      <c r="F166" s="203"/>
    </row>
    <row r="167" spans="1:6" x14ac:dyDescent="0.25">
      <c r="B167" s="69"/>
      <c r="C167" s="69"/>
      <c r="D167" s="69"/>
      <c r="E167" s="69"/>
      <c r="F167" s="203"/>
    </row>
    <row r="168" spans="1:6" x14ac:dyDescent="0.25">
      <c r="B168" s="69"/>
      <c r="C168" s="69"/>
      <c r="D168" s="69"/>
      <c r="E168" s="69"/>
      <c r="F168" s="203"/>
    </row>
    <row r="169" spans="1:6" x14ac:dyDescent="0.25">
      <c r="B169" s="78"/>
      <c r="C169" s="69"/>
      <c r="D169" s="69"/>
      <c r="E169" s="69"/>
      <c r="F169" s="203"/>
    </row>
    <row r="170" spans="1:6" x14ac:dyDescent="0.25">
      <c r="B170" s="78"/>
      <c r="C170" s="69"/>
      <c r="D170" s="69"/>
      <c r="E170" s="69"/>
      <c r="F170" s="203"/>
    </row>
    <row r="171" spans="1:6" x14ac:dyDescent="0.25">
      <c r="B171" s="78"/>
      <c r="C171" s="69"/>
      <c r="D171" s="71"/>
      <c r="E171" s="71"/>
      <c r="F171" s="524"/>
    </row>
    <row r="172" spans="1:6" x14ac:dyDescent="0.25">
      <c r="A172" s="32"/>
      <c r="B172" s="69"/>
      <c r="C172" s="69"/>
      <c r="D172" s="69"/>
      <c r="E172" s="69"/>
      <c r="F172" s="203"/>
    </row>
    <row r="173" spans="1:6" x14ac:dyDescent="0.25">
      <c r="A173" s="32"/>
      <c r="B173" s="69"/>
      <c r="C173" s="69"/>
      <c r="D173" s="73"/>
      <c r="E173" s="73"/>
      <c r="F173" s="203"/>
    </row>
    <row r="174" spans="1:6" x14ac:dyDescent="0.25">
      <c r="B174" s="69"/>
      <c r="C174" s="69"/>
      <c r="D174" s="75"/>
      <c r="E174" s="75"/>
      <c r="F174" s="203"/>
    </row>
    <row r="175" spans="1:6" x14ac:dyDescent="0.25">
      <c r="B175" s="69"/>
      <c r="C175" s="69"/>
      <c r="D175" s="75"/>
      <c r="E175" s="75"/>
      <c r="F175" s="203"/>
    </row>
    <row r="176" spans="1:6" x14ac:dyDescent="0.25">
      <c r="A176" s="32"/>
      <c r="D176" s="76"/>
      <c r="E176" s="76"/>
      <c r="F176" s="522"/>
    </row>
    <row r="177" spans="1:6" x14ac:dyDescent="0.25">
      <c r="A177" s="32"/>
      <c r="D177" s="75"/>
      <c r="E177" s="75"/>
      <c r="F177" s="522"/>
    </row>
    <row r="178" spans="1:6" ht="13.8" thickBot="1" x14ac:dyDescent="0.3">
      <c r="A178" s="32"/>
      <c r="D178" s="77"/>
      <c r="E178" s="77"/>
      <c r="F178" s="522"/>
    </row>
    <row r="179" spans="1:6" ht="13.8" thickTop="1" x14ac:dyDescent="0.25"/>
    <row r="182" spans="1:6" x14ac:dyDescent="0.25">
      <c r="B182" s="69"/>
      <c r="C182" s="69"/>
      <c r="D182" s="69"/>
      <c r="E182" s="70"/>
      <c r="F182" s="203"/>
    </row>
    <row r="183" spans="1:6" x14ac:dyDescent="0.25">
      <c r="B183" s="79"/>
      <c r="C183" s="80"/>
      <c r="D183" s="80"/>
      <c r="E183" s="69"/>
      <c r="F183" s="203"/>
    </row>
    <row r="184" spans="1:6" x14ac:dyDescent="0.25">
      <c r="B184" s="80"/>
      <c r="C184" s="80"/>
      <c r="D184" s="80"/>
      <c r="E184" s="69"/>
      <c r="F184" s="203"/>
    </row>
    <row r="185" spans="1:6" x14ac:dyDescent="0.25">
      <c r="B185" s="79"/>
      <c r="C185" s="80"/>
      <c r="D185" s="80"/>
      <c r="E185" s="69"/>
      <c r="F185" s="203"/>
    </row>
    <row r="186" spans="1:6" x14ac:dyDescent="0.25">
      <c r="B186" s="80"/>
      <c r="C186" s="80"/>
      <c r="D186" s="80"/>
      <c r="E186" s="69"/>
      <c r="F186" s="203"/>
    </row>
    <row r="187" spans="1:6" x14ac:dyDescent="0.25">
      <c r="B187" s="80"/>
      <c r="C187" s="80"/>
      <c r="D187" s="80"/>
      <c r="E187" s="69"/>
      <c r="F187" s="203"/>
    </row>
    <row r="188" spans="1:6" x14ac:dyDescent="0.25">
      <c r="B188" s="79"/>
      <c r="C188" s="80"/>
      <c r="D188" s="80"/>
      <c r="E188" s="69"/>
      <c r="F188" s="203"/>
    </row>
    <row r="189" spans="1:6" x14ac:dyDescent="0.25">
      <c r="B189" s="80"/>
      <c r="C189" s="80"/>
      <c r="D189" s="80"/>
      <c r="E189" s="69"/>
      <c r="F189" s="203"/>
    </row>
    <row r="190" spans="1:6" x14ac:dyDescent="0.25">
      <c r="A190" s="81"/>
      <c r="B190" s="82"/>
      <c r="C190" s="82"/>
      <c r="D190" s="82"/>
      <c r="E190" s="82"/>
      <c r="F190" s="203"/>
    </row>
    <row r="191" spans="1:6" x14ac:dyDescent="0.25">
      <c r="B191" s="80"/>
      <c r="C191" s="80"/>
      <c r="D191" s="80"/>
      <c r="E191" s="69"/>
      <c r="F191" s="203"/>
    </row>
    <row r="192" spans="1:6" x14ac:dyDescent="0.25">
      <c r="B192" s="80"/>
      <c r="C192" s="80"/>
      <c r="D192" s="80"/>
      <c r="E192" s="69"/>
      <c r="F192" s="203"/>
    </row>
    <row r="193" spans="1:6" x14ac:dyDescent="0.25">
      <c r="B193" s="79"/>
      <c r="C193" s="80"/>
      <c r="D193" s="80"/>
      <c r="E193" s="69"/>
      <c r="F193" s="203"/>
    </row>
    <row r="194" spans="1:6" x14ac:dyDescent="0.25">
      <c r="B194" s="79"/>
      <c r="C194" s="80"/>
      <c r="D194" s="80"/>
      <c r="E194" s="69"/>
      <c r="F194" s="203"/>
    </row>
    <row r="195" spans="1:6" x14ac:dyDescent="0.25">
      <c r="B195" s="78"/>
      <c r="C195" s="69"/>
      <c r="D195" s="71"/>
      <c r="E195" s="71"/>
      <c r="F195" s="524"/>
    </row>
    <row r="196" spans="1:6" x14ac:dyDescent="0.25">
      <c r="A196" s="32"/>
      <c r="B196" s="69"/>
      <c r="C196" s="69"/>
      <c r="D196" s="69"/>
      <c r="E196" s="69"/>
      <c r="F196" s="203"/>
    </row>
    <row r="197" spans="1:6" x14ac:dyDescent="0.25">
      <c r="A197" s="32"/>
      <c r="B197" s="69"/>
      <c r="C197" s="69"/>
      <c r="D197" s="73"/>
      <c r="E197" s="73"/>
      <c r="F197" s="203"/>
    </row>
    <row r="198" spans="1:6" x14ac:dyDescent="0.25">
      <c r="B198" s="69"/>
      <c r="C198" s="69"/>
      <c r="D198" s="75"/>
      <c r="E198" s="75"/>
      <c r="F198" s="203"/>
    </row>
    <row r="199" spans="1:6" x14ac:dyDescent="0.25">
      <c r="B199" s="69"/>
      <c r="C199" s="69"/>
      <c r="D199" s="75"/>
      <c r="E199" s="75"/>
      <c r="F199" s="203"/>
    </row>
    <row r="200" spans="1:6" x14ac:dyDescent="0.25">
      <c r="A200" s="32"/>
      <c r="D200" s="76"/>
      <c r="E200" s="76"/>
      <c r="F200" s="522"/>
    </row>
    <row r="201" spans="1:6" x14ac:dyDescent="0.25">
      <c r="A201" s="32"/>
      <c r="D201" s="75"/>
      <c r="E201" s="75"/>
      <c r="F201" s="522"/>
    </row>
    <row r="202" spans="1:6" ht="13.8" thickBot="1" x14ac:dyDescent="0.3">
      <c r="A202" s="32"/>
      <c r="D202" s="83"/>
      <c r="E202" s="77"/>
      <c r="F202" s="522"/>
    </row>
    <row r="203" spans="1:6" ht="13.8" thickTop="1" x14ac:dyDescent="0.25"/>
    <row r="209" spans="1:6" x14ac:dyDescent="0.25">
      <c r="B209" s="79"/>
      <c r="C209" s="80"/>
      <c r="D209" s="80"/>
      <c r="E209" s="69"/>
      <c r="F209" s="203"/>
    </row>
    <row r="210" spans="1:6" x14ac:dyDescent="0.25">
      <c r="B210" s="80"/>
      <c r="C210" s="80"/>
      <c r="D210" s="80"/>
      <c r="E210" s="69"/>
      <c r="F210" s="203"/>
    </row>
    <row r="211" spans="1:6" x14ac:dyDescent="0.25">
      <c r="B211" s="79"/>
      <c r="C211" s="80"/>
      <c r="D211" s="80"/>
      <c r="E211" s="69"/>
      <c r="F211" s="203"/>
    </row>
    <row r="212" spans="1:6" x14ac:dyDescent="0.25">
      <c r="B212" s="80"/>
      <c r="C212" s="80"/>
      <c r="D212" s="80"/>
      <c r="E212" s="69"/>
      <c r="F212" s="203"/>
    </row>
    <row r="213" spans="1:6" x14ac:dyDescent="0.25">
      <c r="B213" s="80"/>
      <c r="C213" s="80"/>
      <c r="D213" s="80"/>
      <c r="E213" s="69"/>
      <c r="F213" s="203"/>
    </row>
    <row r="214" spans="1:6" x14ac:dyDescent="0.25">
      <c r="B214" s="79"/>
      <c r="C214" s="80"/>
      <c r="D214" s="80"/>
      <c r="E214" s="69"/>
      <c r="F214" s="203"/>
    </row>
    <row r="215" spans="1:6" x14ac:dyDescent="0.25">
      <c r="B215" s="80"/>
      <c r="C215" s="80"/>
      <c r="D215" s="80"/>
      <c r="E215" s="69"/>
      <c r="F215" s="203"/>
    </row>
    <row r="216" spans="1:6" x14ac:dyDescent="0.25">
      <c r="A216" s="81"/>
      <c r="B216" s="82"/>
      <c r="C216" s="82"/>
      <c r="D216" s="82"/>
      <c r="E216" s="82"/>
      <c r="F216" s="203"/>
    </row>
    <row r="217" spans="1:6" x14ac:dyDescent="0.25">
      <c r="B217" s="80"/>
      <c r="C217" s="80"/>
      <c r="D217" s="80"/>
      <c r="E217" s="69"/>
      <c r="F217" s="203"/>
    </row>
    <row r="218" spans="1:6" x14ac:dyDescent="0.25">
      <c r="B218" s="80"/>
      <c r="C218" s="80"/>
      <c r="D218" s="80"/>
      <c r="E218" s="69"/>
      <c r="F218" s="203"/>
    </row>
    <row r="219" spans="1:6" x14ac:dyDescent="0.25">
      <c r="B219" s="79"/>
      <c r="C219" s="80"/>
      <c r="D219" s="80"/>
      <c r="E219" s="69"/>
      <c r="F219" s="203"/>
    </row>
    <row r="220" spans="1:6" x14ac:dyDescent="0.25">
      <c r="B220" s="79"/>
      <c r="C220" s="80"/>
      <c r="D220" s="80"/>
      <c r="E220" s="69"/>
      <c r="F220" s="203"/>
    </row>
    <row r="221" spans="1:6" x14ac:dyDescent="0.25">
      <c r="B221" s="78"/>
      <c r="C221" s="69"/>
      <c r="D221" s="71"/>
      <c r="E221" s="71"/>
      <c r="F221" s="524"/>
    </row>
    <row r="222" spans="1:6" x14ac:dyDescent="0.25">
      <c r="A222" s="32"/>
      <c r="B222" s="69"/>
      <c r="C222" s="69"/>
      <c r="D222" s="69"/>
      <c r="E222" s="69"/>
      <c r="F222" s="203"/>
    </row>
    <row r="223" spans="1:6" x14ac:dyDescent="0.25">
      <c r="A223" s="32"/>
      <c r="B223" s="69"/>
      <c r="C223" s="69"/>
      <c r="D223" s="73"/>
      <c r="E223" s="73"/>
      <c r="F223" s="203"/>
    </row>
    <row r="224" spans="1:6" x14ac:dyDescent="0.25">
      <c r="B224" s="69"/>
      <c r="C224" s="69"/>
      <c r="D224" s="75"/>
      <c r="E224" s="75"/>
      <c r="F224" s="203"/>
    </row>
    <row r="225" spans="1:6" x14ac:dyDescent="0.25">
      <c r="B225" s="69"/>
      <c r="C225" s="69"/>
      <c r="D225" s="75"/>
      <c r="E225" s="75"/>
      <c r="F225" s="203"/>
    </row>
    <row r="226" spans="1:6" x14ac:dyDescent="0.25">
      <c r="A226" s="32"/>
      <c r="D226" s="76"/>
      <c r="E226" s="76"/>
      <c r="F226" s="522"/>
    </row>
    <row r="227" spans="1:6" x14ac:dyDescent="0.25">
      <c r="A227" s="32"/>
      <c r="D227" s="75"/>
      <c r="E227" s="75"/>
      <c r="F227" s="522"/>
    </row>
    <row r="228" spans="1:6" ht="13.8" thickBot="1" x14ac:dyDescent="0.3">
      <c r="A228" s="32"/>
      <c r="D228" s="83"/>
      <c r="E228" s="77"/>
      <c r="F228" s="522"/>
    </row>
    <row r="229" spans="1:6" ht="13.8" thickTop="1" x14ac:dyDescent="0.25"/>
    <row r="233" spans="1:6" x14ac:dyDescent="0.25">
      <c r="B233" s="79"/>
      <c r="C233" s="80"/>
      <c r="D233" s="80"/>
      <c r="E233" s="69"/>
      <c r="F233" s="203"/>
    </row>
    <row r="234" spans="1:6" x14ac:dyDescent="0.25">
      <c r="B234" s="80"/>
      <c r="C234" s="80"/>
      <c r="D234" s="80"/>
      <c r="E234" s="69"/>
      <c r="F234" s="203"/>
    </row>
    <row r="235" spans="1:6" x14ac:dyDescent="0.25">
      <c r="B235" s="79"/>
      <c r="C235" s="80"/>
      <c r="D235" s="80"/>
      <c r="E235" s="69"/>
      <c r="F235" s="203"/>
    </row>
    <row r="236" spans="1:6" x14ac:dyDescent="0.25">
      <c r="B236" s="80"/>
      <c r="C236" s="80"/>
      <c r="D236" s="80"/>
      <c r="E236" s="69"/>
      <c r="F236" s="203"/>
    </row>
    <row r="237" spans="1:6" x14ac:dyDescent="0.25">
      <c r="B237" s="80"/>
      <c r="C237" s="80"/>
      <c r="D237" s="80"/>
      <c r="E237" s="69"/>
      <c r="F237" s="203"/>
    </row>
    <row r="238" spans="1:6" x14ac:dyDescent="0.25">
      <c r="B238" s="79"/>
      <c r="C238" s="80"/>
      <c r="D238" s="80"/>
      <c r="E238" s="69"/>
      <c r="F238" s="203"/>
    </row>
    <row r="239" spans="1:6" x14ac:dyDescent="0.25">
      <c r="B239" s="80"/>
      <c r="C239" s="80"/>
      <c r="D239" s="80"/>
      <c r="E239" s="69"/>
      <c r="F239" s="203"/>
    </row>
    <row r="240" spans="1:6" x14ac:dyDescent="0.25">
      <c r="A240" s="84"/>
      <c r="B240" s="85"/>
      <c r="C240" s="85"/>
      <c r="D240" s="85"/>
      <c r="E240" s="85"/>
      <c r="F240" s="203"/>
    </row>
    <row r="241" spans="1:6" x14ac:dyDescent="0.25">
      <c r="B241" s="80"/>
      <c r="C241" s="80"/>
      <c r="D241" s="80"/>
      <c r="E241" s="69"/>
      <c r="F241" s="203"/>
    </row>
    <row r="242" spans="1:6" x14ac:dyDescent="0.25">
      <c r="B242" s="80"/>
      <c r="C242" s="80"/>
      <c r="D242" s="80"/>
      <c r="E242" s="69"/>
      <c r="F242" s="203"/>
    </row>
    <row r="243" spans="1:6" x14ac:dyDescent="0.25">
      <c r="B243" s="79"/>
      <c r="C243" s="80"/>
      <c r="D243" s="80"/>
      <c r="E243" s="69"/>
      <c r="F243" s="203"/>
    </row>
    <row r="244" spans="1:6" x14ac:dyDescent="0.25">
      <c r="B244" s="79"/>
      <c r="C244" s="80"/>
      <c r="D244" s="80"/>
      <c r="E244" s="69"/>
      <c r="F244" s="203"/>
    </row>
    <row r="245" spans="1:6" x14ac:dyDescent="0.25">
      <c r="B245" s="78"/>
      <c r="C245" s="69"/>
      <c r="D245" s="71"/>
      <c r="E245" s="71"/>
      <c r="F245" s="524"/>
    </row>
    <row r="246" spans="1:6" x14ac:dyDescent="0.25">
      <c r="A246" s="32"/>
      <c r="B246" s="69"/>
      <c r="C246" s="69"/>
      <c r="D246" s="69"/>
      <c r="E246" s="69"/>
      <c r="F246" s="203"/>
    </row>
    <row r="247" spans="1:6" x14ac:dyDescent="0.25">
      <c r="A247" s="32"/>
      <c r="B247" s="69"/>
      <c r="C247" s="69"/>
      <c r="D247" s="73"/>
      <c r="E247" s="73"/>
      <c r="F247" s="203"/>
    </row>
    <row r="248" spans="1:6" x14ac:dyDescent="0.25">
      <c r="B248" s="69"/>
      <c r="C248" s="69"/>
      <c r="D248" s="75"/>
      <c r="E248" s="75"/>
      <c r="F248" s="203"/>
    </row>
    <row r="249" spans="1:6" x14ac:dyDescent="0.25">
      <c r="B249" s="69"/>
      <c r="C249" s="69"/>
      <c r="D249" s="75"/>
      <c r="E249" s="75"/>
      <c r="F249" s="203"/>
    </row>
    <row r="250" spans="1:6" x14ac:dyDescent="0.25">
      <c r="A250" s="32"/>
      <c r="D250" s="76"/>
      <c r="E250" s="76"/>
      <c r="F250" s="522"/>
    </row>
    <row r="251" spans="1:6" x14ac:dyDescent="0.25">
      <c r="A251" s="32"/>
      <c r="D251" s="75"/>
      <c r="E251" s="75"/>
      <c r="F251" s="522"/>
    </row>
    <row r="252" spans="1:6" ht="13.8" thickBot="1" x14ac:dyDescent="0.3">
      <c r="A252" s="32"/>
      <c r="D252" s="86"/>
      <c r="E252" s="77"/>
      <c r="F252" s="522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3"/>
    </row>
    <row r="258" spans="1:6" x14ac:dyDescent="0.25">
      <c r="A258" s="87"/>
      <c r="B258" s="90"/>
      <c r="C258" s="90"/>
      <c r="D258" s="90"/>
      <c r="E258" s="69"/>
      <c r="F258" s="203"/>
    </row>
    <row r="259" spans="1:6" x14ac:dyDescent="0.25">
      <c r="A259" s="87"/>
      <c r="B259" s="89"/>
      <c r="C259" s="90"/>
      <c r="D259" s="90"/>
      <c r="E259" s="69"/>
      <c r="F259" s="203"/>
    </row>
    <row r="260" spans="1:6" x14ac:dyDescent="0.25">
      <c r="A260" s="87"/>
      <c r="B260" s="90"/>
      <c r="C260" s="90"/>
      <c r="D260" s="90"/>
      <c r="E260" s="69"/>
      <c r="F260" s="203"/>
    </row>
    <row r="261" spans="1:6" x14ac:dyDescent="0.25">
      <c r="A261" s="87"/>
      <c r="B261" s="90"/>
      <c r="C261" s="90"/>
      <c r="D261" s="90"/>
      <c r="E261" s="69"/>
      <c r="F261" s="203"/>
    </row>
    <row r="262" spans="1:6" x14ac:dyDescent="0.25">
      <c r="A262" s="87"/>
      <c r="B262" s="89"/>
      <c r="C262" s="90"/>
      <c r="D262" s="90"/>
      <c r="E262" s="69"/>
      <c r="F262" s="203"/>
    </row>
    <row r="263" spans="1:6" x14ac:dyDescent="0.25">
      <c r="A263" s="87"/>
      <c r="B263" s="90"/>
      <c r="C263" s="90"/>
      <c r="D263" s="90"/>
      <c r="E263" s="69"/>
      <c r="F263" s="203"/>
    </row>
    <row r="264" spans="1:6" x14ac:dyDescent="0.25">
      <c r="A264" s="91"/>
      <c r="B264" s="92"/>
      <c r="C264" s="92"/>
      <c r="D264" s="92"/>
      <c r="E264" s="85"/>
      <c r="F264" s="203"/>
    </row>
    <row r="265" spans="1:6" x14ac:dyDescent="0.25">
      <c r="A265" s="87"/>
      <c r="B265" s="90"/>
      <c r="C265" s="90"/>
      <c r="D265" s="90"/>
      <c r="E265" s="69"/>
      <c r="F265" s="203"/>
    </row>
    <row r="266" spans="1:6" x14ac:dyDescent="0.25">
      <c r="A266" s="87"/>
      <c r="B266" s="90"/>
      <c r="C266" s="90"/>
      <c r="D266" s="90"/>
      <c r="E266" s="69"/>
      <c r="F266" s="203"/>
    </row>
    <row r="267" spans="1:6" x14ac:dyDescent="0.25">
      <c r="A267" s="87"/>
      <c r="B267" s="89"/>
      <c r="C267" s="90"/>
      <c r="D267" s="90"/>
      <c r="E267" s="69"/>
      <c r="F267" s="203"/>
    </row>
    <row r="268" spans="1:6" x14ac:dyDescent="0.25">
      <c r="A268" s="87"/>
      <c r="B268" s="89"/>
      <c r="C268" s="90"/>
      <c r="D268" s="90"/>
      <c r="E268" s="69"/>
      <c r="F268" s="203"/>
    </row>
    <row r="269" spans="1:6" x14ac:dyDescent="0.25">
      <c r="A269" s="87"/>
      <c r="B269" s="93"/>
      <c r="C269" s="88"/>
      <c r="D269" s="94"/>
      <c r="E269" s="71"/>
      <c r="F269" s="524"/>
    </row>
    <row r="270" spans="1:6" x14ac:dyDescent="0.25">
      <c r="A270" s="87"/>
      <c r="B270" s="88"/>
      <c r="C270" s="88"/>
      <c r="D270" s="88"/>
      <c r="E270" s="69"/>
      <c r="F270" s="203"/>
    </row>
    <row r="271" spans="1:6" x14ac:dyDescent="0.25">
      <c r="A271" s="87"/>
      <c r="B271" s="88"/>
      <c r="C271" s="88"/>
      <c r="D271" s="95"/>
      <c r="E271" s="73"/>
      <c r="F271" s="203"/>
    </row>
    <row r="272" spans="1:6" x14ac:dyDescent="0.25">
      <c r="A272" s="87"/>
      <c r="B272" s="88"/>
      <c r="C272" s="88"/>
      <c r="D272" s="96"/>
      <c r="E272" s="75"/>
      <c r="F272" s="203"/>
    </row>
    <row r="273" spans="1:6" x14ac:dyDescent="0.25">
      <c r="A273" s="87"/>
      <c r="B273" s="88"/>
      <c r="C273" s="88"/>
      <c r="D273" s="96"/>
      <c r="E273" s="75"/>
      <c r="F273" s="203"/>
    </row>
    <row r="274" spans="1:6" x14ac:dyDescent="0.25">
      <c r="A274" s="87"/>
      <c r="B274" s="88"/>
      <c r="C274" s="88"/>
      <c r="D274" s="97"/>
      <c r="E274" s="76"/>
      <c r="F274" s="522"/>
    </row>
    <row r="275" spans="1:6" x14ac:dyDescent="0.25">
      <c r="A275" s="87"/>
      <c r="B275" s="88"/>
      <c r="C275" s="88"/>
      <c r="D275" s="96"/>
      <c r="E275" s="75"/>
      <c r="F275" s="522"/>
    </row>
    <row r="276" spans="1:6" ht="13.8" thickBot="1" x14ac:dyDescent="0.3">
      <c r="A276" s="87"/>
      <c r="B276" s="88"/>
      <c r="C276" s="88"/>
      <c r="D276" s="98"/>
      <c r="E276" s="77"/>
      <c r="F276" s="522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3"/>
    </row>
    <row r="283" spans="1:6" x14ac:dyDescent="0.25">
      <c r="A283" s="87"/>
      <c r="B283" s="90"/>
      <c r="C283" s="90"/>
      <c r="D283" s="90"/>
      <c r="E283" s="69"/>
      <c r="F283" s="203"/>
    </row>
    <row r="284" spans="1:6" x14ac:dyDescent="0.25">
      <c r="A284" s="87"/>
      <c r="B284" s="89"/>
      <c r="C284" s="90"/>
      <c r="D284" s="90"/>
      <c r="E284" s="69"/>
      <c r="F284" s="203"/>
    </row>
    <row r="285" spans="1:6" x14ac:dyDescent="0.25">
      <c r="A285" s="87"/>
      <c r="B285" s="90"/>
      <c r="C285" s="90"/>
      <c r="D285" s="90"/>
      <c r="E285" s="69"/>
      <c r="F285" s="203"/>
    </row>
    <row r="286" spans="1:6" x14ac:dyDescent="0.25">
      <c r="A286" s="87"/>
      <c r="B286" s="90"/>
      <c r="C286" s="90"/>
      <c r="D286" s="90"/>
      <c r="E286" s="69"/>
      <c r="F286" s="203"/>
    </row>
    <row r="287" spans="1:6" x14ac:dyDescent="0.25">
      <c r="A287" s="87"/>
      <c r="B287" s="89"/>
      <c r="C287" s="90"/>
      <c r="D287" s="90"/>
      <c r="E287" s="69"/>
      <c r="F287" s="203"/>
    </row>
    <row r="288" spans="1:6" x14ac:dyDescent="0.25">
      <c r="A288" s="87"/>
      <c r="B288" s="90"/>
      <c r="C288" s="90"/>
      <c r="D288" s="90"/>
      <c r="E288" s="69"/>
      <c r="F288" s="203"/>
    </row>
    <row r="289" spans="1:6" x14ac:dyDescent="0.25">
      <c r="A289" s="91"/>
      <c r="B289" s="92"/>
      <c r="C289" s="92"/>
      <c r="D289" s="92"/>
      <c r="E289" s="85"/>
      <c r="F289" s="203"/>
    </row>
    <row r="290" spans="1:6" x14ac:dyDescent="0.25">
      <c r="A290" s="87"/>
      <c r="B290" s="90"/>
      <c r="C290" s="90"/>
      <c r="D290" s="90"/>
      <c r="E290" s="69"/>
      <c r="F290" s="203"/>
    </row>
    <row r="291" spans="1:6" x14ac:dyDescent="0.25">
      <c r="A291" s="87"/>
      <c r="B291" s="90"/>
      <c r="C291" s="90"/>
      <c r="D291" s="90"/>
      <c r="E291" s="69"/>
      <c r="F291" s="203"/>
    </row>
    <row r="292" spans="1:6" x14ac:dyDescent="0.25">
      <c r="A292" s="87"/>
      <c r="B292" s="89"/>
      <c r="C292" s="90"/>
      <c r="D292" s="90"/>
      <c r="E292" s="69"/>
      <c r="F292" s="203"/>
    </row>
    <row r="293" spans="1:6" x14ac:dyDescent="0.25">
      <c r="A293" s="87"/>
      <c r="B293" s="89"/>
      <c r="C293" s="90"/>
      <c r="D293" s="90"/>
      <c r="E293" s="69"/>
      <c r="F293" s="203"/>
    </row>
    <row r="294" spans="1:6" x14ac:dyDescent="0.25">
      <c r="A294" s="87"/>
      <c r="B294" s="93"/>
      <c r="C294" s="88"/>
      <c r="D294" s="94"/>
      <c r="E294" s="71"/>
      <c r="F294" s="524"/>
    </row>
    <row r="295" spans="1:6" x14ac:dyDescent="0.25">
      <c r="A295" s="87"/>
      <c r="B295" s="88"/>
      <c r="C295" s="88"/>
      <c r="D295" s="88"/>
      <c r="E295" s="69"/>
      <c r="F295" s="203"/>
    </row>
    <row r="296" spans="1:6" x14ac:dyDescent="0.25">
      <c r="A296" s="87"/>
      <c r="B296" s="88"/>
      <c r="C296" s="88"/>
      <c r="D296" s="95"/>
      <c r="E296" s="73"/>
      <c r="F296" s="203"/>
    </row>
    <row r="297" spans="1:6" x14ac:dyDescent="0.25">
      <c r="A297" s="87"/>
      <c r="B297" s="88"/>
      <c r="C297" s="88"/>
      <c r="D297" s="96"/>
      <c r="E297" s="75"/>
      <c r="F297" s="203"/>
    </row>
    <row r="298" spans="1:6" x14ac:dyDescent="0.25">
      <c r="A298" s="87"/>
      <c r="B298" s="88"/>
      <c r="C298" s="88"/>
      <c r="D298" s="96"/>
      <c r="E298" s="75"/>
      <c r="F298" s="203"/>
    </row>
    <row r="299" spans="1:6" x14ac:dyDescent="0.25">
      <c r="A299" s="99"/>
      <c r="B299" s="88"/>
      <c r="C299" s="88"/>
      <c r="D299" s="97"/>
      <c r="E299" s="76"/>
      <c r="F299" s="522"/>
    </row>
    <row r="300" spans="1:6" x14ac:dyDescent="0.25">
      <c r="A300" s="87"/>
      <c r="B300" s="88"/>
      <c r="C300" s="88"/>
      <c r="D300" s="96"/>
      <c r="E300" s="75"/>
      <c r="F300" s="522"/>
    </row>
    <row r="301" spans="1:6" ht="13.8" thickBot="1" x14ac:dyDescent="0.3">
      <c r="A301" s="87"/>
      <c r="B301" s="88"/>
      <c r="C301" s="88"/>
      <c r="D301" s="98"/>
      <c r="E301" s="77"/>
      <c r="F301" s="522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3"/>
    </row>
    <row r="310" spans="1:6" x14ac:dyDescent="0.25">
      <c r="A310" s="87"/>
      <c r="B310" s="90"/>
      <c r="C310" s="90"/>
      <c r="D310" s="90"/>
      <c r="E310" s="69"/>
      <c r="F310" s="203"/>
    </row>
    <row r="311" spans="1:6" x14ac:dyDescent="0.25">
      <c r="A311" s="87"/>
      <c r="B311" s="89"/>
      <c r="C311" s="90"/>
      <c r="D311" s="90"/>
      <c r="E311" s="69"/>
      <c r="F311" s="203"/>
    </row>
    <row r="312" spans="1:6" x14ac:dyDescent="0.25">
      <c r="A312" s="87"/>
      <c r="B312" s="90"/>
      <c r="C312" s="90"/>
      <c r="D312" s="90"/>
      <c r="E312" s="69"/>
      <c r="F312" s="203"/>
    </row>
    <row r="313" spans="1:6" x14ac:dyDescent="0.25">
      <c r="A313" s="87"/>
      <c r="B313" s="90"/>
      <c r="C313" s="90"/>
      <c r="D313" s="90"/>
      <c r="E313" s="69"/>
      <c r="F313" s="203"/>
    </row>
    <row r="314" spans="1:6" x14ac:dyDescent="0.25">
      <c r="A314" s="87"/>
      <c r="B314" s="89"/>
      <c r="C314" s="90"/>
      <c r="D314" s="90"/>
      <c r="E314" s="69"/>
      <c r="F314" s="203"/>
    </row>
    <row r="315" spans="1:6" x14ac:dyDescent="0.25">
      <c r="A315" s="87"/>
      <c r="B315" s="90"/>
      <c r="C315" s="90"/>
      <c r="D315" s="90"/>
      <c r="E315" s="69"/>
      <c r="F315" s="203"/>
    </row>
    <row r="316" spans="1:6" x14ac:dyDescent="0.25">
      <c r="A316" s="91"/>
      <c r="B316" s="92"/>
      <c r="C316" s="92"/>
      <c r="D316" s="92"/>
      <c r="E316" s="85"/>
      <c r="F316" s="203"/>
    </row>
    <row r="317" spans="1:6" x14ac:dyDescent="0.25">
      <c r="A317" s="87"/>
      <c r="B317" s="90"/>
      <c r="C317" s="90"/>
      <c r="D317" s="90"/>
      <c r="E317" s="69"/>
      <c r="F317" s="203"/>
    </row>
    <row r="318" spans="1:6" x14ac:dyDescent="0.25">
      <c r="A318" s="87"/>
      <c r="B318" s="90"/>
      <c r="C318" s="90"/>
      <c r="D318" s="90"/>
      <c r="E318" s="69"/>
      <c r="F318" s="203"/>
    </row>
    <row r="319" spans="1:6" x14ac:dyDescent="0.25">
      <c r="A319" s="87"/>
      <c r="B319" s="89"/>
      <c r="C319" s="90"/>
      <c r="D319" s="90"/>
      <c r="E319" s="69"/>
      <c r="F319" s="203"/>
    </row>
    <row r="320" spans="1:6" x14ac:dyDescent="0.25">
      <c r="A320" s="87"/>
      <c r="B320" s="89"/>
      <c r="C320" s="90"/>
      <c r="D320" s="90"/>
      <c r="E320" s="69"/>
      <c r="F320" s="203"/>
    </row>
    <row r="321" spans="1:6" x14ac:dyDescent="0.25">
      <c r="A321" s="87"/>
      <c r="B321" s="93"/>
      <c r="C321" s="88"/>
      <c r="D321" s="94"/>
      <c r="E321" s="71"/>
      <c r="F321" s="524"/>
    </row>
    <row r="322" spans="1:6" x14ac:dyDescent="0.25">
      <c r="A322" s="87"/>
      <c r="B322" s="88"/>
      <c r="C322" s="88"/>
      <c r="D322" s="88"/>
      <c r="E322" s="69"/>
      <c r="F322" s="203"/>
    </row>
    <row r="323" spans="1:6" x14ac:dyDescent="0.25">
      <c r="A323" s="87"/>
      <c r="B323" s="88"/>
      <c r="C323" s="88"/>
      <c r="D323" s="95"/>
      <c r="E323" s="73"/>
      <c r="F323" s="203"/>
    </row>
    <row r="324" spans="1:6" x14ac:dyDescent="0.25">
      <c r="A324" s="87"/>
      <c r="B324" s="88"/>
      <c r="C324" s="88"/>
      <c r="D324" s="96"/>
      <c r="E324" s="75"/>
      <c r="F324" s="203"/>
    </row>
    <row r="325" spans="1:6" x14ac:dyDescent="0.25">
      <c r="A325" s="87"/>
      <c r="B325" s="88"/>
      <c r="C325" s="88"/>
      <c r="D325" s="96"/>
      <c r="E325" s="75"/>
      <c r="F325" s="203"/>
    </row>
    <row r="326" spans="1:6" x14ac:dyDescent="0.25">
      <c r="A326" s="99"/>
      <c r="B326" s="88"/>
      <c r="C326" s="88"/>
      <c r="D326" s="97"/>
      <c r="E326" s="76"/>
      <c r="F326" s="522"/>
    </row>
    <row r="327" spans="1:6" x14ac:dyDescent="0.25">
      <c r="A327" s="87"/>
      <c r="B327" s="88"/>
      <c r="C327" s="88"/>
      <c r="D327" s="96"/>
      <c r="E327" s="75"/>
      <c r="F327" s="522"/>
    </row>
    <row r="328" spans="1:6" ht="13.8" thickBot="1" x14ac:dyDescent="0.3">
      <c r="A328" s="87"/>
      <c r="B328" s="88"/>
      <c r="C328" s="88"/>
      <c r="D328" s="98"/>
      <c r="E328" s="77"/>
      <c r="F328" s="522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C37" sqref="C37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24" x14ac:dyDescent="0.25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5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5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5">
      <c r="A6">
        <v>4</v>
      </c>
      <c r="B6" s="90">
        <v>19712</v>
      </c>
      <c r="C6" s="90">
        <v>19737</v>
      </c>
      <c r="D6" s="90"/>
      <c r="E6" s="90">
        <v>-10000</v>
      </c>
      <c r="F6" s="90">
        <f t="shared" ref="F6:F33" si="0">+E6-D6+C6-B6</f>
        <v>-9975</v>
      </c>
      <c r="I6" t="s">
        <v>248</v>
      </c>
      <c r="P6" t="s">
        <v>249</v>
      </c>
    </row>
    <row r="7" spans="1:24" x14ac:dyDescent="0.25">
      <c r="A7">
        <v>5</v>
      </c>
      <c r="B7" s="90">
        <v>19700</v>
      </c>
      <c r="C7" s="90">
        <v>19737</v>
      </c>
      <c r="D7" s="90"/>
      <c r="E7" s="90">
        <v>-50</v>
      </c>
      <c r="F7" s="90">
        <f t="shared" si="0"/>
        <v>-13</v>
      </c>
    </row>
    <row r="8" spans="1:24" x14ac:dyDescent="0.25">
      <c r="A8">
        <v>6</v>
      </c>
      <c r="B8" s="90">
        <v>19696</v>
      </c>
      <c r="C8" s="90">
        <v>19737</v>
      </c>
      <c r="D8" s="90"/>
      <c r="E8" s="90"/>
      <c r="F8" s="90">
        <f t="shared" si="0"/>
        <v>41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5">
      <c r="A9">
        <v>7</v>
      </c>
      <c r="B9" s="90">
        <v>22849</v>
      </c>
      <c r="C9" s="90">
        <v>22895</v>
      </c>
      <c r="D9" s="90"/>
      <c r="E9" s="90"/>
      <c r="F9" s="90">
        <f t="shared" si="0"/>
        <v>46</v>
      </c>
      <c r="I9" s="494"/>
      <c r="J9" s="338"/>
      <c r="K9" s="338"/>
      <c r="L9" s="338"/>
      <c r="M9" s="493"/>
      <c r="N9" s="493"/>
      <c r="O9" s="493"/>
      <c r="P9" s="494"/>
      <c r="Q9" s="338"/>
      <c r="R9" s="338"/>
      <c r="S9" s="338"/>
      <c r="T9" s="493"/>
      <c r="U9" s="493"/>
    </row>
    <row r="10" spans="1:24" x14ac:dyDescent="0.25">
      <c r="A10">
        <v>8</v>
      </c>
      <c r="B10" s="90">
        <v>19738</v>
      </c>
      <c r="C10" s="90">
        <v>19737</v>
      </c>
      <c r="D10" s="90"/>
      <c r="E10" s="90"/>
      <c r="F10" s="90">
        <f t="shared" si="0"/>
        <v>-1</v>
      </c>
      <c r="I10" s="494">
        <v>37012</v>
      </c>
      <c r="J10" s="338">
        <v>1103057</v>
      </c>
      <c r="K10" s="338">
        <v>1120793</v>
      </c>
      <c r="L10" s="338">
        <f>+K10-J10</f>
        <v>17736</v>
      </c>
      <c r="M10" s="493">
        <v>4.01</v>
      </c>
      <c r="N10" s="493">
        <f>+L10*M10</f>
        <v>71121.36</v>
      </c>
      <c r="O10" s="493"/>
      <c r="P10" s="494">
        <v>37012</v>
      </c>
      <c r="Q10" s="338">
        <v>-202726</v>
      </c>
      <c r="R10" s="338">
        <v>-185000</v>
      </c>
      <c r="S10" s="338">
        <f t="shared" ref="S10:S15" si="1">+R10-Q10</f>
        <v>17726</v>
      </c>
      <c r="T10" s="493">
        <v>4.01</v>
      </c>
      <c r="U10" s="493">
        <f>+S10*T10</f>
        <v>71081.259999999995</v>
      </c>
      <c r="W10" s="495">
        <v>37012</v>
      </c>
      <c r="X10">
        <v>4.01</v>
      </c>
    </row>
    <row r="11" spans="1:24" x14ac:dyDescent="0.25">
      <c r="A11">
        <v>9</v>
      </c>
      <c r="B11" s="90">
        <v>19291</v>
      </c>
      <c r="C11" s="90">
        <v>19737</v>
      </c>
      <c r="D11" s="90">
        <v>-10996</v>
      </c>
      <c r="E11" s="90">
        <v>-25000</v>
      </c>
      <c r="F11" s="90">
        <f t="shared" si="0"/>
        <v>-13558</v>
      </c>
      <c r="I11" s="494">
        <v>37043</v>
      </c>
      <c r="J11" s="338">
        <f>1647210-1647210+1654290</f>
        <v>1654290</v>
      </c>
      <c r="K11" s="338">
        <v>1681871</v>
      </c>
      <c r="L11" s="338">
        <f>+K11-J11</f>
        <v>27581</v>
      </c>
      <c r="M11" s="493">
        <v>3.51</v>
      </c>
      <c r="N11" s="493">
        <f>+L11*M11</f>
        <v>96809.31</v>
      </c>
      <c r="O11" s="493"/>
      <c r="P11" s="494">
        <v>37043</v>
      </c>
      <c r="Q11" s="338">
        <v>-153623</v>
      </c>
      <c r="R11" s="338">
        <v>-88473</v>
      </c>
      <c r="S11" s="338">
        <f t="shared" si="1"/>
        <v>65150</v>
      </c>
      <c r="T11" s="493">
        <v>3.51</v>
      </c>
      <c r="U11" s="493">
        <f>+S11*T11</f>
        <v>228676.5</v>
      </c>
      <c r="W11" s="495">
        <v>37043</v>
      </c>
      <c r="X11">
        <v>3.51</v>
      </c>
    </row>
    <row r="12" spans="1:24" x14ac:dyDescent="0.25">
      <c r="A12">
        <v>10</v>
      </c>
      <c r="B12" s="90">
        <v>19791</v>
      </c>
      <c r="C12" s="90">
        <v>19737</v>
      </c>
      <c r="D12" s="90">
        <v>-1092</v>
      </c>
      <c r="E12" s="90">
        <v>-9593</v>
      </c>
      <c r="F12" s="90">
        <f t="shared" si="0"/>
        <v>-8555</v>
      </c>
      <c r="I12" s="494">
        <v>37073</v>
      </c>
      <c r="J12" s="338">
        <f>1305497-1305497+1309597</f>
        <v>1309597</v>
      </c>
      <c r="K12" s="338">
        <v>1270571</v>
      </c>
      <c r="L12" s="338">
        <f>+K12-J12</f>
        <v>-39026</v>
      </c>
      <c r="M12" s="493">
        <v>2.94</v>
      </c>
      <c r="N12" s="493">
        <f>+L12*M12</f>
        <v>-114736.44</v>
      </c>
      <c r="O12" s="493"/>
      <c r="P12" s="494">
        <v>37104</v>
      </c>
      <c r="Q12" s="338">
        <v>-34269</v>
      </c>
      <c r="R12" s="338">
        <v>-27046</v>
      </c>
      <c r="S12" s="338">
        <f t="shared" si="1"/>
        <v>7223</v>
      </c>
      <c r="T12" s="493">
        <v>2.85</v>
      </c>
      <c r="U12" s="493">
        <f>+S12*T12</f>
        <v>20585.55</v>
      </c>
      <c r="W12" s="495">
        <v>37073</v>
      </c>
      <c r="X12">
        <v>2.94</v>
      </c>
    </row>
    <row r="13" spans="1:24" x14ac:dyDescent="0.25">
      <c r="A13">
        <v>11</v>
      </c>
      <c r="B13" s="90">
        <v>39582</v>
      </c>
      <c r="C13" s="90">
        <v>39737</v>
      </c>
      <c r="D13" s="90">
        <v>-16072</v>
      </c>
      <c r="E13" s="90">
        <v>-25000</v>
      </c>
      <c r="F13" s="90">
        <f t="shared" si="0"/>
        <v>-8773</v>
      </c>
      <c r="I13" s="494">
        <v>37104</v>
      </c>
      <c r="J13" s="338">
        <f>1436775-1436775+1438269</f>
        <v>1438269</v>
      </c>
      <c r="K13" s="338">
        <v>1418897</v>
      </c>
      <c r="L13" s="338">
        <f>+K13-J13</f>
        <v>-19372</v>
      </c>
      <c r="M13" s="493">
        <v>2.85</v>
      </c>
      <c r="N13" s="493">
        <f>+L13*M13</f>
        <v>-55210.200000000004</v>
      </c>
      <c r="O13" s="493"/>
      <c r="P13" s="494">
        <v>37135</v>
      </c>
      <c r="Q13" s="338">
        <v>-1191628</v>
      </c>
      <c r="R13" s="338">
        <v>-1210937</v>
      </c>
      <c r="S13" s="338">
        <f t="shared" si="1"/>
        <v>-19309</v>
      </c>
      <c r="T13" s="493">
        <v>1.96</v>
      </c>
      <c r="U13" s="493">
        <f>+S13*T13</f>
        <v>-37845.64</v>
      </c>
      <c r="W13" s="495">
        <v>37104</v>
      </c>
      <c r="X13">
        <v>2.85</v>
      </c>
    </row>
    <row r="14" spans="1:24" x14ac:dyDescent="0.25">
      <c r="A14">
        <v>12</v>
      </c>
      <c r="B14" s="88"/>
      <c r="C14" s="90"/>
      <c r="D14" s="88"/>
      <c r="E14" s="88"/>
      <c r="F14" s="90">
        <f t="shared" si="0"/>
        <v>0</v>
      </c>
      <c r="I14" s="494">
        <v>37135</v>
      </c>
      <c r="J14" s="338">
        <v>1109912</v>
      </c>
      <c r="K14" s="338">
        <v>1111335</v>
      </c>
      <c r="L14" s="338">
        <f>+K14-J14</f>
        <v>1423</v>
      </c>
      <c r="M14" s="493">
        <v>1.96</v>
      </c>
      <c r="N14" s="496">
        <f>+L14*M14</f>
        <v>2789.08</v>
      </c>
      <c r="O14" s="493"/>
      <c r="P14" s="494"/>
      <c r="Q14" s="338"/>
      <c r="R14" s="338"/>
      <c r="S14" s="338">
        <f t="shared" si="1"/>
        <v>0</v>
      </c>
      <c r="T14" s="493"/>
      <c r="U14" s="493"/>
      <c r="W14" s="495">
        <v>37135</v>
      </c>
      <c r="X14">
        <v>1.96</v>
      </c>
    </row>
    <row r="15" spans="1:24" x14ac:dyDescent="0.25">
      <c r="A15">
        <v>13</v>
      </c>
      <c r="B15" s="88"/>
      <c r="C15" s="88"/>
      <c r="D15" s="88"/>
      <c r="E15" s="88"/>
      <c r="F15" s="90">
        <f t="shared" si="0"/>
        <v>0</v>
      </c>
      <c r="I15" s="494"/>
      <c r="J15" s="338"/>
      <c r="K15" s="338"/>
      <c r="L15" s="338"/>
      <c r="M15" s="493"/>
      <c r="N15" s="493"/>
      <c r="O15" s="493"/>
      <c r="P15" s="494"/>
      <c r="Q15" s="338"/>
      <c r="R15" s="338"/>
      <c r="S15" s="338">
        <f t="shared" si="1"/>
        <v>0</v>
      </c>
      <c r="T15" s="493"/>
      <c r="U15" s="493"/>
    </row>
    <row r="16" spans="1:24" x14ac:dyDescent="0.25">
      <c r="A16">
        <v>14</v>
      </c>
      <c r="B16" s="88"/>
      <c r="C16" s="88"/>
      <c r="D16" s="88"/>
      <c r="E16" s="88"/>
      <c r="F16" s="90">
        <f t="shared" si="0"/>
        <v>0</v>
      </c>
      <c r="I16" s="494" t="s">
        <v>250</v>
      </c>
      <c r="J16" s="338"/>
      <c r="K16" s="338"/>
      <c r="L16" s="338">
        <f>SUM(L10:L15)</f>
        <v>-11658</v>
      </c>
      <c r="M16" s="493"/>
      <c r="N16" s="493">
        <f>SUM(N9:N15)</f>
        <v>773.10999999997694</v>
      </c>
      <c r="O16" s="493"/>
      <c r="P16" s="494" t="s">
        <v>250</v>
      </c>
      <c r="Q16" s="338"/>
      <c r="R16" s="338"/>
      <c r="S16" s="338">
        <f>SUM(S9:S15)</f>
        <v>70790</v>
      </c>
      <c r="T16" s="493"/>
      <c r="U16" s="493">
        <f>SUM(U9:U15)</f>
        <v>282497.67</v>
      </c>
    </row>
    <row r="17" spans="1:21" x14ac:dyDescent="0.25">
      <c r="A17">
        <v>15</v>
      </c>
      <c r="B17" s="88"/>
      <c r="C17" s="88"/>
      <c r="D17" s="338"/>
      <c r="E17" s="338"/>
      <c r="F17" s="90">
        <f t="shared" si="0"/>
        <v>0</v>
      </c>
    </row>
    <row r="18" spans="1:21" x14ac:dyDescent="0.25">
      <c r="A18">
        <v>16</v>
      </c>
      <c r="B18" s="88"/>
      <c r="C18" s="88"/>
      <c r="D18" s="338"/>
      <c r="E18" s="338"/>
      <c r="F18" s="90">
        <f t="shared" si="0"/>
        <v>0</v>
      </c>
      <c r="I18" s="494" t="s">
        <v>251</v>
      </c>
      <c r="J18" s="338"/>
      <c r="K18" s="338"/>
      <c r="L18" s="338">
        <v>19880</v>
      </c>
      <c r="M18" s="493"/>
      <c r="N18" s="493"/>
      <c r="O18" s="493"/>
      <c r="P18" s="494" t="s">
        <v>251</v>
      </c>
      <c r="Q18" s="338"/>
      <c r="R18" s="338"/>
      <c r="S18" s="338">
        <v>37185</v>
      </c>
      <c r="T18" s="493"/>
      <c r="U18" s="493"/>
    </row>
    <row r="19" spans="1:21" x14ac:dyDescent="0.25">
      <c r="A19">
        <v>17</v>
      </c>
      <c r="B19" s="88"/>
      <c r="C19" s="88"/>
      <c r="D19" s="338"/>
      <c r="E19" s="338"/>
      <c r="F19" s="90">
        <f t="shared" si="0"/>
        <v>0</v>
      </c>
      <c r="I19" s="494"/>
      <c r="J19" s="338"/>
      <c r="K19" s="338"/>
      <c r="L19" s="338"/>
      <c r="M19" s="493"/>
      <c r="N19" s="493"/>
      <c r="O19" s="493"/>
      <c r="P19" s="494"/>
      <c r="Q19" s="338"/>
      <c r="R19" s="338"/>
      <c r="S19" s="338"/>
      <c r="T19" s="493"/>
      <c r="U19" s="493"/>
    </row>
    <row r="20" spans="1:21" x14ac:dyDescent="0.25">
      <c r="A20">
        <v>18</v>
      </c>
      <c r="B20" s="338"/>
      <c r="C20" s="338"/>
      <c r="D20" s="338"/>
      <c r="E20" s="338"/>
      <c r="F20" s="90">
        <f t="shared" si="0"/>
        <v>0</v>
      </c>
      <c r="I20" s="494"/>
      <c r="J20" s="338"/>
      <c r="K20" s="338"/>
      <c r="L20" s="338"/>
      <c r="M20" s="493"/>
      <c r="N20" s="493"/>
      <c r="O20" s="493"/>
      <c r="P20" s="494"/>
      <c r="Q20" s="338"/>
      <c r="R20" s="338"/>
      <c r="S20" s="338"/>
      <c r="T20" s="493"/>
      <c r="U20" s="493"/>
    </row>
    <row r="21" spans="1:21" x14ac:dyDescent="0.25">
      <c r="A21">
        <v>19</v>
      </c>
      <c r="B21" s="338"/>
      <c r="C21" s="338"/>
      <c r="D21" s="338"/>
      <c r="E21" s="338"/>
      <c r="F21" s="90">
        <f t="shared" si="0"/>
        <v>0</v>
      </c>
      <c r="I21" s="494"/>
      <c r="J21" s="338"/>
      <c r="K21" s="338"/>
      <c r="L21" s="338"/>
      <c r="M21" s="493"/>
      <c r="N21" s="493"/>
      <c r="O21" s="493"/>
      <c r="P21" s="494"/>
      <c r="Q21" s="338"/>
      <c r="R21" s="338"/>
      <c r="S21" s="338"/>
      <c r="T21" s="493"/>
      <c r="U21" s="493"/>
    </row>
    <row r="22" spans="1:21" x14ac:dyDescent="0.25">
      <c r="A22">
        <v>20</v>
      </c>
      <c r="B22" s="445"/>
      <c r="C22" s="338"/>
      <c r="D22" s="338"/>
      <c r="E22" s="338"/>
      <c r="F22" s="90">
        <f t="shared" si="0"/>
        <v>0</v>
      </c>
      <c r="I22" s="494"/>
      <c r="J22" s="338"/>
      <c r="K22" s="338"/>
      <c r="L22" s="338"/>
      <c r="M22" s="493"/>
      <c r="N22" s="493"/>
      <c r="O22" s="493"/>
      <c r="P22" s="494"/>
      <c r="Q22" s="338"/>
      <c r="R22" s="338"/>
      <c r="S22" s="338"/>
      <c r="T22" s="493"/>
      <c r="U22" s="493"/>
    </row>
    <row r="23" spans="1:21" x14ac:dyDescent="0.25">
      <c r="A23">
        <v>21</v>
      </c>
      <c r="B23" s="338"/>
      <c r="C23" s="338"/>
      <c r="D23" s="338"/>
      <c r="E23" s="338"/>
      <c r="F23" s="90">
        <f t="shared" si="0"/>
        <v>0</v>
      </c>
      <c r="I23" s="494"/>
      <c r="J23" s="338"/>
      <c r="K23" s="338"/>
      <c r="L23" s="338"/>
      <c r="M23" s="493"/>
      <c r="N23" s="493"/>
      <c r="O23" s="493"/>
      <c r="P23" s="494"/>
      <c r="Q23" s="338"/>
      <c r="R23" s="338"/>
      <c r="S23" s="338"/>
      <c r="T23" s="493"/>
      <c r="U23" s="493"/>
    </row>
    <row r="24" spans="1:21" x14ac:dyDescent="0.25">
      <c r="A24">
        <v>22</v>
      </c>
      <c r="B24" s="338"/>
      <c r="C24" s="338"/>
      <c r="D24" s="338"/>
      <c r="E24" s="338"/>
      <c r="F24" s="90">
        <f t="shared" si="0"/>
        <v>0</v>
      </c>
      <c r="I24" s="87"/>
      <c r="J24" s="87"/>
      <c r="K24" s="87"/>
      <c r="L24" s="87"/>
      <c r="M24" s="493"/>
      <c r="N24" s="493"/>
      <c r="O24" s="493"/>
      <c r="P24" s="87"/>
      <c r="Q24" s="87"/>
      <c r="R24" s="87"/>
      <c r="S24" s="338"/>
      <c r="T24" s="493"/>
      <c r="U24" s="493"/>
    </row>
    <row r="25" spans="1:21" x14ac:dyDescent="0.25">
      <c r="A25">
        <v>23</v>
      </c>
      <c r="B25" s="338"/>
      <c r="C25" s="338"/>
      <c r="D25" s="338"/>
      <c r="E25" s="338"/>
      <c r="F25" s="90">
        <f t="shared" si="0"/>
        <v>0</v>
      </c>
      <c r="I25" s="87"/>
      <c r="J25" s="87"/>
      <c r="K25" s="87"/>
      <c r="L25" s="87"/>
      <c r="M25" s="493"/>
      <c r="N25" s="493"/>
      <c r="O25" s="493"/>
      <c r="P25" s="87"/>
      <c r="Q25" s="87"/>
      <c r="R25" s="87"/>
      <c r="S25" s="338"/>
      <c r="T25" s="493"/>
      <c r="U25" s="493"/>
    </row>
    <row r="26" spans="1:21" x14ac:dyDescent="0.25">
      <c r="A26">
        <v>24</v>
      </c>
      <c r="B26" s="338"/>
      <c r="C26" s="338"/>
      <c r="D26" s="338"/>
      <c r="E26" s="338"/>
      <c r="F26" s="90">
        <f t="shared" si="0"/>
        <v>0</v>
      </c>
      <c r="I26" s="87"/>
      <c r="J26" s="87"/>
      <c r="K26" s="87"/>
      <c r="L26" s="87"/>
      <c r="M26" s="493"/>
      <c r="N26" s="493"/>
      <c r="O26" s="493"/>
      <c r="P26" s="87"/>
      <c r="Q26" s="87"/>
      <c r="R26" s="87"/>
      <c r="S26" s="338"/>
      <c r="T26" s="493"/>
      <c r="U26" s="493"/>
    </row>
    <row r="27" spans="1:21" x14ac:dyDescent="0.25">
      <c r="A27">
        <v>25</v>
      </c>
      <c r="B27" s="338"/>
      <c r="C27" s="338"/>
      <c r="D27" s="338"/>
      <c r="E27" s="338"/>
      <c r="F27" s="90">
        <f t="shared" si="0"/>
        <v>0</v>
      </c>
      <c r="I27" s="87"/>
      <c r="J27" s="87"/>
      <c r="K27" s="87"/>
      <c r="L27" s="87"/>
      <c r="M27" s="493"/>
      <c r="N27" s="493"/>
      <c r="O27" s="493"/>
      <c r="P27" s="87"/>
      <c r="Q27" s="87"/>
      <c r="R27" s="87"/>
      <c r="S27" s="338"/>
      <c r="T27" s="493"/>
      <c r="U27" s="493"/>
    </row>
    <row r="28" spans="1:21" x14ac:dyDescent="0.25">
      <c r="A28">
        <v>26</v>
      </c>
      <c r="B28" s="338"/>
      <c r="C28" s="338"/>
      <c r="D28" s="14"/>
      <c r="E28" s="14"/>
      <c r="F28" s="90">
        <f t="shared" si="0"/>
        <v>0</v>
      </c>
      <c r="I28" s="87"/>
      <c r="J28" s="87"/>
      <c r="K28" s="87"/>
      <c r="L28" s="87"/>
      <c r="M28" s="493"/>
      <c r="N28" s="493"/>
      <c r="O28" s="493"/>
      <c r="P28" s="87"/>
      <c r="Q28" s="87"/>
      <c r="R28" s="87"/>
      <c r="S28" s="87"/>
      <c r="T28" s="493"/>
      <c r="U28" s="493"/>
    </row>
    <row r="29" spans="1:21" x14ac:dyDescent="0.25">
      <c r="A29">
        <v>27</v>
      </c>
      <c r="B29" s="338"/>
      <c r="C29" s="338"/>
      <c r="D29" s="14"/>
      <c r="E29" s="14"/>
      <c r="F29" s="90">
        <f t="shared" si="0"/>
        <v>0</v>
      </c>
      <c r="I29" s="87"/>
      <c r="J29" s="87"/>
      <c r="K29" s="87"/>
      <c r="L29" s="87"/>
      <c r="M29" s="493"/>
      <c r="N29" s="493"/>
      <c r="O29" s="493"/>
      <c r="P29" s="87"/>
      <c r="Q29" s="87"/>
      <c r="R29" s="87"/>
      <c r="S29" s="87"/>
      <c r="T29" s="493"/>
      <c r="U29" s="493"/>
    </row>
    <row r="30" spans="1:21" x14ac:dyDescent="0.25">
      <c r="A30">
        <v>28</v>
      </c>
      <c r="B30" s="445"/>
      <c r="C30" s="338"/>
      <c r="D30" s="14"/>
      <c r="E30" s="14"/>
      <c r="F30" s="90">
        <f t="shared" si="0"/>
        <v>0</v>
      </c>
      <c r="I30" s="87"/>
      <c r="J30" s="87"/>
      <c r="K30" s="87"/>
      <c r="L30" s="87"/>
      <c r="M30" s="493"/>
      <c r="N30" s="493"/>
      <c r="O30" s="493"/>
      <c r="P30" s="87"/>
      <c r="Q30" s="87"/>
      <c r="R30" s="87"/>
      <c r="S30" s="87"/>
      <c r="T30" s="493"/>
      <c r="U30" s="493"/>
    </row>
    <row r="31" spans="1:21" x14ac:dyDescent="0.25">
      <c r="A31">
        <v>29</v>
      </c>
      <c r="B31" s="338"/>
      <c r="C31" s="338"/>
      <c r="D31" s="14"/>
      <c r="E31" s="14"/>
      <c r="F31" s="90">
        <f t="shared" si="0"/>
        <v>0</v>
      </c>
      <c r="I31" s="87"/>
      <c r="J31" s="87"/>
      <c r="K31" s="87"/>
      <c r="L31" s="87"/>
      <c r="M31" s="493"/>
      <c r="N31" s="493"/>
      <c r="O31" s="493"/>
      <c r="P31" s="87"/>
      <c r="Q31" s="87"/>
      <c r="R31" s="87"/>
      <c r="S31" s="87"/>
      <c r="T31" s="493"/>
      <c r="U31" s="493"/>
    </row>
    <row r="32" spans="1:21" x14ac:dyDescent="0.25">
      <c r="A32">
        <v>30</v>
      </c>
      <c r="B32" s="338"/>
      <c r="C32" s="338"/>
      <c r="D32" s="14"/>
      <c r="E32" s="14"/>
      <c r="F32" s="90">
        <f t="shared" si="0"/>
        <v>0</v>
      </c>
      <c r="M32" s="264"/>
      <c r="N32" s="264"/>
      <c r="O32" s="264"/>
      <c r="T32" s="264"/>
      <c r="U32" s="264"/>
    </row>
    <row r="33" spans="1:21" x14ac:dyDescent="0.25">
      <c r="A33">
        <v>31</v>
      </c>
      <c r="B33" s="338"/>
      <c r="C33" s="338"/>
      <c r="D33" s="14"/>
      <c r="E33" s="14"/>
      <c r="F33" s="90">
        <f t="shared" si="0"/>
        <v>0</v>
      </c>
      <c r="M33" s="264"/>
      <c r="N33" s="264"/>
      <c r="O33" s="264"/>
      <c r="T33" s="264"/>
      <c r="U33" s="264"/>
    </row>
    <row r="34" spans="1:21" x14ac:dyDescent="0.25">
      <c r="B34" s="294">
        <f>SUM(B3:B33)</f>
        <v>239344</v>
      </c>
      <c r="C34" s="294">
        <f>SUM(C3:C33)</f>
        <v>240265</v>
      </c>
      <c r="D34" s="14">
        <f>SUM(D3:D33)</f>
        <v>-28160</v>
      </c>
      <c r="E34" s="14">
        <f>SUM(E3:E33)</f>
        <v>-69643</v>
      </c>
      <c r="F34" s="14">
        <f>SUM(F3:F33)</f>
        <v>-40562</v>
      </c>
      <c r="M34" s="264"/>
      <c r="N34" s="264"/>
      <c r="O34" s="264"/>
      <c r="T34" s="264"/>
      <c r="U34" s="264"/>
    </row>
    <row r="35" spans="1:21" x14ac:dyDescent="0.25">
      <c r="D35" s="14"/>
      <c r="E35" s="14"/>
      <c r="F35" s="14"/>
      <c r="M35" s="264"/>
      <c r="N35" s="264"/>
      <c r="O35" s="264"/>
      <c r="T35" s="264"/>
      <c r="U35" s="264"/>
    </row>
    <row r="36" spans="1:21" x14ac:dyDescent="0.25">
      <c r="F36" s="342"/>
      <c r="M36" s="264"/>
      <c r="N36" s="264"/>
      <c r="O36" s="264"/>
      <c r="T36" s="264"/>
      <c r="U36" s="264"/>
    </row>
    <row r="37" spans="1:21" x14ac:dyDescent="0.25">
      <c r="A37" s="261">
        <v>37225</v>
      </c>
      <c r="B37" s="14"/>
      <c r="C37" s="14"/>
      <c r="D37" s="14"/>
      <c r="E37" s="14"/>
      <c r="F37" s="508">
        <v>159450</v>
      </c>
      <c r="M37" s="264"/>
      <c r="N37" s="264"/>
      <c r="O37" s="264"/>
      <c r="T37" s="264"/>
      <c r="U37" s="264"/>
    </row>
    <row r="38" spans="1:21" x14ac:dyDescent="0.25">
      <c r="A38" s="261">
        <v>37236</v>
      </c>
      <c r="B38" s="14"/>
      <c r="C38" s="14"/>
      <c r="D38" s="14"/>
      <c r="E38" s="14"/>
      <c r="F38" s="150">
        <f>+F37+F34</f>
        <v>118888</v>
      </c>
      <c r="M38" s="264"/>
      <c r="N38" s="264"/>
      <c r="O38" s="264"/>
    </row>
    <row r="39" spans="1:21" x14ac:dyDescent="0.25">
      <c r="F39" s="300"/>
      <c r="M39" s="264"/>
      <c r="N39" s="264"/>
      <c r="O39" s="264"/>
    </row>
    <row r="40" spans="1:21" x14ac:dyDescent="0.25">
      <c r="F40" s="300"/>
      <c r="M40" s="264"/>
      <c r="N40" s="264"/>
      <c r="O40" s="264"/>
    </row>
    <row r="41" spans="1:21" x14ac:dyDescent="0.25">
      <c r="F41" s="300"/>
      <c r="M41" s="264"/>
      <c r="N41" s="264"/>
      <c r="O41" s="264"/>
    </row>
    <row r="42" spans="1:21" x14ac:dyDescent="0.25">
      <c r="A42" s="32" t="s">
        <v>153</v>
      </c>
      <c r="B42" s="32"/>
      <c r="C42" s="32"/>
      <c r="D42" s="47"/>
      <c r="F42" s="300"/>
      <c r="M42" s="264"/>
      <c r="N42" s="264"/>
      <c r="O42" s="264"/>
    </row>
    <row r="43" spans="1:21" x14ac:dyDescent="0.25">
      <c r="A43" s="49">
        <f>+A37</f>
        <v>37225</v>
      </c>
      <c r="B43" s="32"/>
      <c r="C43" s="32"/>
      <c r="D43" s="446">
        <v>416892</v>
      </c>
      <c r="F43" s="300"/>
      <c r="M43" s="264"/>
      <c r="N43" s="264"/>
      <c r="O43" s="264"/>
    </row>
    <row r="44" spans="1:21" x14ac:dyDescent="0.25">
      <c r="A44" s="49">
        <f>+A38</f>
        <v>37236</v>
      </c>
      <c r="B44" s="32"/>
      <c r="C44" s="32"/>
      <c r="D44" s="390">
        <f>+F34*'by type_area'!J4</f>
        <v>-81935.240000000005</v>
      </c>
      <c r="F44" s="300"/>
      <c r="M44" s="264"/>
      <c r="N44" s="264"/>
      <c r="O44" s="264"/>
    </row>
    <row r="45" spans="1:21" x14ac:dyDescent="0.25">
      <c r="A45" s="32"/>
      <c r="B45" s="32"/>
      <c r="C45" s="32"/>
      <c r="D45" s="202">
        <f>+D44+D43</f>
        <v>334956.76</v>
      </c>
      <c r="F45" s="300"/>
      <c r="M45" s="264"/>
      <c r="N45" s="264"/>
      <c r="O45" s="264"/>
    </row>
    <row r="46" spans="1:21" x14ac:dyDescent="0.25">
      <c r="F46" s="300"/>
      <c r="M46" s="264"/>
      <c r="N46" s="264"/>
      <c r="O46" s="264"/>
    </row>
    <row r="47" spans="1:21" x14ac:dyDescent="0.25">
      <c r="F47" s="300"/>
      <c r="M47" s="264"/>
      <c r="N47" s="264"/>
      <c r="O47" s="264"/>
    </row>
    <row r="48" spans="1:21" x14ac:dyDescent="0.25">
      <c r="F48" s="300"/>
      <c r="M48" s="264"/>
      <c r="N48" s="264"/>
      <c r="O48" s="264"/>
    </row>
    <row r="49" spans="13:15" x14ac:dyDescent="0.25">
      <c r="M49" s="264"/>
      <c r="N49" s="264"/>
      <c r="O49" s="264"/>
    </row>
    <row r="50" spans="13:15" x14ac:dyDescent="0.25">
      <c r="M50" s="264"/>
      <c r="N50" s="264"/>
      <c r="O50" s="264"/>
    </row>
    <row r="51" spans="13:15" x14ac:dyDescent="0.25">
      <c r="M51" s="264"/>
      <c r="N51" s="264"/>
      <c r="O51" s="264"/>
    </row>
    <row r="52" spans="13:15" x14ac:dyDescent="0.25">
      <c r="M52" s="264"/>
      <c r="N52" s="264"/>
      <c r="O52" s="264"/>
    </row>
    <row r="53" spans="13:15" x14ac:dyDescent="0.25">
      <c r="M53" s="264"/>
      <c r="N53" s="264"/>
      <c r="O53" s="264"/>
    </row>
    <row r="54" spans="13:15" x14ac:dyDescent="0.25">
      <c r="M54" s="264"/>
      <c r="N54" s="264"/>
      <c r="O54" s="264"/>
    </row>
    <row r="55" spans="13:15" x14ac:dyDescent="0.25">
      <c r="M55" s="264"/>
      <c r="N55" s="264"/>
      <c r="O55" s="264"/>
    </row>
    <row r="56" spans="13:15" x14ac:dyDescent="0.25">
      <c r="M56" s="264"/>
      <c r="N56" s="264"/>
      <c r="O56" s="264"/>
    </row>
    <row r="57" spans="13:15" x14ac:dyDescent="0.25">
      <c r="M57" s="264"/>
      <c r="N57" s="264"/>
      <c r="O57" s="264"/>
    </row>
    <row r="58" spans="13:15" x14ac:dyDescent="0.25">
      <c r="M58" s="264"/>
      <c r="N58" s="264"/>
      <c r="O58" s="264"/>
    </row>
    <row r="59" spans="13:15" x14ac:dyDescent="0.25">
      <c r="M59" s="264"/>
      <c r="N59" s="264"/>
      <c r="O59" s="264"/>
    </row>
    <row r="60" spans="13:15" x14ac:dyDescent="0.25">
      <c r="M60" s="264"/>
      <c r="N60" s="264"/>
      <c r="O60" s="264"/>
    </row>
    <row r="61" spans="13:15" x14ac:dyDescent="0.25">
      <c r="M61" s="264"/>
      <c r="N61" s="264"/>
      <c r="O61" s="264"/>
    </row>
    <row r="62" spans="13:15" x14ac:dyDescent="0.25">
      <c r="M62" s="264"/>
      <c r="N62" s="264"/>
      <c r="O62" s="264"/>
    </row>
    <row r="63" spans="13:15" x14ac:dyDescent="0.25">
      <c r="M63" s="264"/>
      <c r="N63" s="264"/>
      <c r="O63" s="264"/>
    </row>
    <row r="64" spans="13:15" x14ac:dyDescent="0.25">
      <c r="M64" s="264"/>
      <c r="N64" s="264"/>
      <c r="O64" s="264"/>
    </row>
    <row r="65" spans="13:15" x14ac:dyDescent="0.25">
      <c r="M65" s="264"/>
      <c r="N65" s="264"/>
      <c r="O65" s="264"/>
    </row>
    <row r="66" spans="13:15" x14ac:dyDescent="0.25">
      <c r="M66" s="264"/>
      <c r="N66" s="264"/>
      <c r="O66" s="264"/>
    </row>
    <row r="67" spans="13:15" x14ac:dyDescent="0.25">
      <c r="M67" s="264"/>
      <c r="N67" s="264"/>
      <c r="O67" s="264"/>
    </row>
    <row r="68" spans="13:15" x14ac:dyDescent="0.25">
      <c r="M68" s="264"/>
      <c r="N68" s="264"/>
      <c r="O68" s="264"/>
    </row>
    <row r="69" spans="13:15" x14ac:dyDescent="0.25">
      <c r="M69" s="264"/>
      <c r="N69" s="264"/>
      <c r="O69" s="264"/>
    </row>
    <row r="70" spans="13:15" x14ac:dyDescent="0.25">
      <c r="M70" s="264"/>
      <c r="N70" s="264"/>
      <c r="O70" s="264"/>
    </row>
    <row r="71" spans="13:15" x14ac:dyDescent="0.25">
      <c r="M71" s="264"/>
      <c r="N71" s="264"/>
      <c r="O71" s="264"/>
    </row>
    <row r="72" spans="13:15" x14ac:dyDescent="0.25">
      <c r="M72" s="264"/>
      <c r="N72" s="264"/>
      <c r="O72" s="264"/>
    </row>
    <row r="73" spans="13:15" x14ac:dyDescent="0.25">
      <c r="M73" s="264"/>
      <c r="N73" s="264"/>
      <c r="O73" s="264"/>
    </row>
    <row r="74" spans="13:15" x14ac:dyDescent="0.25">
      <c r="M74" s="264"/>
      <c r="N74" s="264"/>
      <c r="O74" s="264"/>
    </row>
    <row r="75" spans="13:15" x14ac:dyDescent="0.25">
      <c r="M75" s="264"/>
      <c r="N75" s="264"/>
      <c r="O75" s="264"/>
    </row>
    <row r="76" spans="13:15" x14ac:dyDescent="0.25">
      <c r="M76" s="264"/>
      <c r="N76" s="264"/>
      <c r="O76" s="264"/>
    </row>
    <row r="77" spans="13:15" x14ac:dyDescent="0.25">
      <c r="M77" s="264"/>
      <c r="N77" s="264"/>
      <c r="O77" s="264"/>
    </row>
    <row r="78" spans="13:15" x14ac:dyDescent="0.25">
      <c r="M78" s="264"/>
      <c r="N78" s="264"/>
      <c r="O78" s="264"/>
    </row>
    <row r="79" spans="13:15" x14ac:dyDescent="0.25">
      <c r="M79" s="264"/>
      <c r="N79" s="264"/>
      <c r="O79" s="264"/>
    </row>
    <row r="80" spans="13:15" x14ac:dyDescent="0.25">
      <c r="M80" s="264"/>
      <c r="N80" s="264"/>
      <c r="O80" s="264"/>
    </row>
    <row r="81" spans="13:15" x14ac:dyDescent="0.25">
      <c r="M81" s="264"/>
      <c r="N81" s="264"/>
      <c r="O81" s="264"/>
    </row>
    <row r="82" spans="13:15" x14ac:dyDescent="0.25">
      <c r="M82" s="264"/>
      <c r="N82" s="264"/>
      <c r="O82" s="264"/>
    </row>
    <row r="83" spans="13:15" x14ac:dyDescent="0.25">
      <c r="M83" s="264"/>
      <c r="N83" s="264"/>
      <c r="O83" s="264"/>
    </row>
    <row r="84" spans="13:15" x14ac:dyDescent="0.25">
      <c r="M84" s="264"/>
      <c r="N84" s="264"/>
      <c r="O84" s="264"/>
    </row>
    <row r="85" spans="13:15" x14ac:dyDescent="0.25">
      <c r="M85" s="264"/>
      <c r="N85" s="264"/>
      <c r="O85" s="264"/>
    </row>
    <row r="86" spans="13:15" x14ac:dyDescent="0.25">
      <c r="M86" s="264"/>
      <c r="N86" s="264"/>
      <c r="O86" s="264"/>
    </row>
    <row r="87" spans="13:15" x14ac:dyDescent="0.25">
      <c r="M87" s="264"/>
      <c r="N87" s="264"/>
      <c r="O87" s="264"/>
    </row>
    <row r="88" spans="13:15" x14ac:dyDescent="0.25">
      <c r="M88" s="264"/>
      <c r="N88" s="264"/>
      <c r="O88" s="264"/>
    </row>
    <row r="89" spans="13:15" x14ac:dyDescent="0.25">
      <c r="M89" s="264"/>
      <c r="N89" s="264"/>
      <c r="O89" s="26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5" workbookViewId="0">
      <selection activeCell="D45" sqref="D45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5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5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5">
      <c r="A7" s="10">
        <v>4</v>
      </c>
      <c r="B7" s="11">
        <v>-19990</v>
      </c>
      <c r="C7" s="11">
        <v>-19952</v>
      </c>
      <c r="D7" s="25">
        <f t="shared" si="0"/>
        <v>38</v>
      </c>
    </row>
    <row r="8" spans="1:4" x14ac:dyDescent="0.25">
      <c r="A8" s="10">
        <v>5</v>
      </c>
      <c r="B8" s="11">
        <v>-20010</v>
      </c>
      <c r="C8" s="11">
        <v>-19952</v>
      </c>
      <c r="D8" s="25">
        <f t="shared" si="0"/>
        <v>58</v>
      </c>
    </row>
    <row r="9" spans="1:4" x14ac:dyDescent="0.25">
      <c r="A9" s="10">
        <v>6</v>
      </c>
      <c r="B9" s="11">
        <v>-19999</v>
      </c>
      <c r="C9" s="11">
        <v>-20000</v>
      </c>
      <c r="D9" s="25">
        <f t="shared" si="0"/>
        <v>-1</v>
      </c>
    </row>
    <row r="10" spans="1:4" x14ac:dyDescent="0.25">
      <c r="A10" s="10">
        <v>7</v>
      </c>
      <c r="B10" s="129">
        <v>-20968</v>
      </c>
      <c r="C10" s="11">
        <v>-20000</v>
      </c>
      <c r="D10" s="25">
        <f t="shared" si="0"/>
        <v>968</v>
      </c>
    </row>
    <row r="11" spans="1:4" x14ac:dyDescent="0.25">
      <c r="A11" s="10">
        <v>8</v>
      </c>
      <c r="B11" s="11">
        <v>-20315</v>
      </c>
      <c r="C11" s="11">
        <v>-20000</v>
      </c>
      <c r="D11" s="25">
        <f t="shared" si="0"/>
        <v>315</v>
      </c>
    </row>
    <row r="12" spans="1:4" x14ac:dyDescent="0.25">
      <c r="A12" s="10">
        <v>9</v>
      </c>
      <c r="B12" s="11">
        <v>-20002</v>
      </c>
      <c r="C12" s="11">
        <v>-19153</v>
      </c>
      <c r="D12" s="25">
        <f t="shared" si="0"/>
        <v>849</v>
      </c>
    </row>
    <row r="13" spans="1:4" x14ac:dyDescent="0.25">
      <c r="A13" s="10">
        <v>10</v>
      </c>
      <c r="B13" s="11">
        <v>-19998</v>
      </c>
      <c r="C13" s="11">
        <v>-19490</v>
      </c>
      <c r="D13" s="25">
        <f t="shared" si="0"/>
        <v>508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08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-201480</v>
      </c>
      <c r="C35" s="11">
        <f>SUM(C4:C34)</f>
        <v>-198202</v>
      </c>
      <c r="D35" s="11">
        <f>SUM(D4:D34)</f>
        <v>3278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37225</v>
      </c>
      <c r="D38" s="562">
        <v>176934</v>
      </c>
    </row>
    <row r="39" spans="1:4" x14ac:dyDescent="0.25">
      <c r="A39" s="2"/>
      <c r="D39" s="24"/>
    </row>
    <row r="40" spans="1:4" x14ac:dyDescent="0.25">
      <c r="A40" s="57">
        <v>37235</v>
      </c>
      <c r="D40" s="51">
        <f>+D38+D35</f>
        <v>180212</v>
      </c>
    </row>
    <row r="44" spans="1:4" x14ac:dyDescent="0.25">
      <c r="A44" s="32" t="s">
        <v>153</v>
      </c>
      <c r="B44" s="32"/>
      <c r="C44" s="32"/>
      <c r="D44" s="47"/>
    </row>
    <row r="45" spans="1:4" x14ac:dyDescent="0.25">
      <c r="A45" s="49">
        <f>+A38</f>
        <v>37225</v>
      </c>
      <c r="B45" s="32"/>
      <c r="C45" s="32"/>
      <c r="D45" s="560">
        <v>177562.79</v>
      </c>
    </row>
    <row r="46" spans="1:4" x14ac:dyDescent="0.25">
      <c r="A46" s="49">
        <f>+A40</f>
        <v>37235</v>
      </c>
      <c r="B46" s="32"/>
      <c r="C46" s="32"/>
      <c r="D46" s="390">
        <f>+D35*'by type_area'!J4</f>
        <v>6621.56</v>
      </c>
    </row>
    <row r="47" spans="1:4" x14ac:dyDescent="0.25">
      <c r="A47" s="32"/>
      <c r="B47" s="32"/>
      <c r="C47" s="32"/>
      <c r="D47" s="202">
        <f>+D46+D45</f>
        <v>184184.35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7" workbookViewId="0">
      <selection activeCell="D46" sqref="D46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255</v>
      </c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13315</v>
      </c>
      <c r="C7" s="11">
        <v>13500</v>
      </c>
      <c r="D7" s="11">
        <v>8655</v>
      </c>
      <c r="E7" s="11">
        <v>8766</v>
      </c>
      <c r="F7" s="11"/>
      <c r="G7" s="11"/>
      <c r="H7" s="11">
        <v>32</v>
      </c>
      <c r="I7" s="11"/>
      <c r="J7" s="11">
        <f t="shared" si="0"/>
        <v>264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13166</v>
      </c>
      <c r="C8" s="11">
        <v>13500</v>
      </c>
      <c r="D8" s="129">
        <v>8645</v>
      </c>
      <c r="E8" s="11">
        <v>8766</v>
      </c>
      <c r="F8" s="11"/>
      <c r="G8" s="11"/>
      <c r="H8" s="11"/>
      <c r="I8" s="11"/>
      <c r="J8" s="11">
        <f t="shared" si="0"/>
        <v>455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12882</v>
      </c>
      <c r="C9" s="11">
        <v>13500</v>
      </c>
      <c r="D9" s="11">
        <v>8784</v>
      </c>
      <c r="E9" s="11">
        <v>8266</v>
      </c>
      <c r="F9" s="11">
        <v>4</v>
      </c>
      <c r="G9" s="11"/>
      <c r="H9" s="11">
        <v>72</v>
      </c>
      <c r="I9" s="11"/>
      <c r="J9" s="11">
        <f t="shared" si="0"/>
        <v>24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12665</v>
      </c>
      <c r="C10" s="11">
        <v>12936</v>
      </c>
      <c r="D10" s="129">
        <v>8648</v>
      </c>
      <c r="E10" s="11">
        <v>8226</v>
      </c>
      <c r="F10" s="11">
        <v>40</v>
      </c>
      <c r="G10" s="11"/>
      <c r="H10" s="11"/>
      <c r="I10" s="11"/>
      <c r="J10" s="11">
        <f t="shared" si="0"/>
        <v>-191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12571</v>
      </c>
      <c r="C11" s="11">
        <v>13000</v>
      </c>
      <c r="D11" s="11">
        <v>8780</v>
      </c>
      <c r="E11" s="11">
        <v>8266</v>
      </c>
      <c r="F11" s="11"/>
      <c r="G11" s="11"/>
      <c r="H11" s="11"/>
      <c r="I11" s="11"/>
      <c r="J11" s="11">
        <f t="shared" si="0"/>
        <v>-85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12456</v>
      </c>
      <c r="C12" s="11">
        <v>13000</v>
      </c>
      <c r="D12" s="11">
        <v>8879</v>
      </c>
      <c r="E12" s="11">
        <v>8266</v>
      </c>
      <c r="F12" s="11"/>
      <c r="G12" s="11"/>
      <c r="H12" s="11"/>
      <c r="I12" s="11"/>
      <c r="J12" s="11">
        <f t="shared" si="0"/>
        <v>-69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12406</v>
      </c>
      <c r="C13" s="11">
        <v>13000</v>
      </c>
      <c r="D13" s="11">
        <v>9352</v>
      </c>
      <c r="E13" s="11">
        <v>8266</v>
      </c>
      <c r="F13" s="11"/>
      <c r="G13" s="11"/>
      <c r="H13" s="11"/>
      <c r="I13" s="11"/>
      <c r="J13" s="11">
        <f t="shared" si="0"/>
        <v>-492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130211</v>
      </c>
      <c r="C35" s="11">
        <f t="shared" ref="C35:I35" si="1">SUM(C4:C34)</f>
        <v>132936</v>
      </c>
      <c r="D35" s="11">
        <f t="shared" si="1"/>
        <v>87631</v>
      </c>
      <c r="E35" s="11">
        <f t="shared" si="1"/>
        <v>85120</v>
      </c>
      <c r="F35" s="11">
        <f t="shared" si="1"/>
        <v>44</v>
      </c>
      <c r="G35" s="11">
        <f t="shared" si="1"/>
        <v>0</v>
      </c>
      <c r="H35" s="11">
        <f t="shared" si="1"/>
        <v>1390</v>
      </c>
      <c r="I35" s="11">
        <f t="shared" si="1"/>
        <v>0</v>
      </c>
      <c r="J35" s="11">
        <f>SUM(J4:J34)</f>
        <v>-1220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2.02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-2464.4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0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37225</v>
      </c>
      <c r="C39" s="25"/>
      <c r="E39" s="25"/>
      <c r="G39" s="25"/>
      <c r="I39" s="25"/>
      <c r="J39" s="556">
        <v>-38486.04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0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37235</v>
      </c>
      <c r="J41" s="330">
        <f>+J39+J37</f>
        <v>-40950.44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0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37225</v>
      </c>
      <c r="B46" s="32"/>
      <c r="C46" s="32"/>
      <c r="D46" s="557">
        <v>-144659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37235</v>
      </c>
      <c r="B47" s="32"/>
      <c r="C47" s="32"/>
      <c r="D47" s="363">
        <f>+J35</f>
        <v>-1220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-145879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7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5">
      <c r="A4" s="118" t="s">
        <v>117</v>
      </c>
      <c r="B4" s="233">
        <v>12353</v>
      </c>
      <c r="C4" s="24" t="s">
        <v>127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-40965</v>
      </c>
      <c r="E6" s="24">
        <v>-41120</v>
      </c>
      <c r="F6" s="24">
        <f>+C6+E6-B6-D6</f>
        <v>-155</v>
      </c>
      <c r="G6" s="14">
        <v>-40965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-70588</v>
      </c>
      <c r="E7" s="24">
        <v>-72493</v>
      </c>
      <c r="F7" s="24">
        <f t="shared" ref="F7:F36" si="1">+C7+E7-B7-D7</f>
        <v>-1905</v>
      </c>
      <c r="G7" s="208">
        <v>-70588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-46538</v>
      </c>
      <c r="E8" s="24">
        <v>-47409</v>
      </c>
      <c r="F8" s="24">
        <f t="shared" si="1"/>
        <v>-871</v>
      </c>
      <c r="G8" s="208">
        <v>-46538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-44942</v>
      </c>
      <c r="E9" s="24">
        <v>-47409</v>
      </c>
      <c r="F9" s="24">
        <f t="shared" si="1"/>
        <v>-2467</v>
      </c>
      <c r="G9" s="208">
        <v>-44942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-45635</v>
      </c>
      <c r="E10" s="24">
        <v>-42474</v>
      </c>
      <c r="F10" s="24">
        <f t="shared" si="1"/>
        <v>3161</v>
      </c>
      <c r="G10" s="208">
        <v>-45635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-24144</v>
      </c>
      <c r="E11" s="24">
        <v>-22024</v>
      </c>
      <c r="F11" s="24">
        <f t="shared" si="1"/>
        <v>2120</v>
      </c>
      <c r="G11" s="208">
        <v>-24144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-22851</v>
      </c>
      <c r="E12" s="24">
        <v>-22030</v>
      </c>
      <c r="F12" s="24">
        <f t="shared" si="1"/>
        <v>821</v>
      </c>
      <c r="G12" s="208">
        <v>-22851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-23255</v>
      </c>
      <c r="E13" s="24">
        <v>-22030</v>
      </c>
      <c r="F13" s="24">
        <f t="shared" si="1"/>
        <v>1225</v>
      </c>
      <c r="G13" s="208">
        <v>-23255</v>
      </c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-27020</v>
      </c>
      <c r="E14" s="24">
        <v>-27030</v>
      </c>
      <c r="F14" s="24">
        <f t="shared" si="1"/>
        <v>-10</v>
      </c>
      <c r="G14" s="208">
        <v>-27020</v>
      </c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-56544</v>
      </c>
      <c r="E15" s="24">
        <v>-56575</v>
      </c>
      <c r="F15" s="24">
        <f t="shared" si="1"/>
        <v>-31</v>
      </c>
      <c r="G15" s="208">
        <v>-56544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-55455</v>
      </c>
      <c r="E16" s="24">
        <v>-57030</v>
      </c>
      <c r="F16" s="24">
        <f t="shared" si="1"/>
        <v>-1575</v>
      </c>
      <c r="G16" s="208">
        <v>-55455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-57780</v>
      </c>
      <c r="E17" s="24">
        <v>-57030</v>
      </c>
      <c r="F17" s="24">
        <f t="shared" si="1"/>
        <v>750</v>
      </c>
      <c r="G17" s="208">
        <v>-57780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-40035</v>
      </c>
      <c r="E18" s="24">
        <v>-42348</v>
      </c>
      <c r="F18" s="24">
        <f t="shared" si="1"/>
        <v>-2313</v>
      </c>
      <c r="G18" s="208">
        <v>-40035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-31407</v>
      </c>
      <c r="E19" s="24">
        <v>-26824</v>
      </c>
      <c r="F19" s="24">
        <f t="shared" si="1"/>
        <v>4583</v>
      </c>
      <c r="G19" s="208">
        <v>-10052</v>
      </c>
      <c r="H19" s="14">
        <v>-21355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-18221</v>
      </c>
      <c r="E20" s="24">
        <v>-22485</v>
      </c>
      <c r="F20" s="24">
        <f t="shared" si="1"/>
        <v>-4264</v>
      </c>
      <c r="G20" s="208">
        <v>-18221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-38667</v>
      </c>
      <c r="E21" s="24">
        <v>-42255</v>
      </c>
      <c r="F21" s="24">
        <f t="shared" si="1"/>
        <v>-3588</v>
      </c>
      <c r="G21" s="208">
        <v>-32655</v>
      </c>
      <c r="H21" s="14">
        <v>-6012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-17955</v>
      </c>
      <c r="E22" s="24">
        <v>-17398</v>
      </c>
      <c r="F22" s="24">
        <f t="shared" si="1"/>
        <v>557</v>
      </c>
      <c r="G22" s="208"/>
      <c r="H22" s="14">
        <v>-17955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-18100</v>
      </c>
      <c r="E23" s="24">
        <v>-17398</v>
      </c>
      <c r="F23" s="24">
        <f t="shared" si="1"/>
        <v>702</v>
      </c>
      <c r="G23" s="208">
        <v>-18100</v>
      </c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-2702</v>
      </c>
      <c r="E24" s="24">
        <v>7602</v>
      </c>
      <c r="F24" s="24">
        <f t="shared" si="1"/>
        <v>10304</v>
      </c>
      <c r="G24" s="208">
        <v>-2702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-20122</v>
      </c>
      <c r="E25" s="24">
        <v>-27029</v>
      </c>
      <c r="F25" s="24">
        <f t="shared" si="1"/>
        <v>-6907</v>
      </c>
      <c r="G25" s="208">
        <v>-4008</v>
      </c>
      <c r="H25" s="14">
        <v>-16114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-33490</v>
      </c>
      <c r="E26" s="24">
        <v>-35554</v>
      </c>
      <c r="F26" s="24">
        <f t="shared" si="1"/>
        <v>-2064</v>
      </c>
      <c r="G26" s="208">
        <v>-5173</v>
      </c>
      <c r="H26" s="14">
        <v>-28317</v>
      </c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-36601</v>
      </c>
      <c r="E27" s="24">
        <v>-36021</v>
      </c>
      <c r="F27" s="24">
        <f t="shared" si="1"/>
        <v>580</v>
      </c>
      <c r="G27" s="208">
        <v>-35595</v>
      </c>
      <c r="H27" s="14">
        <v>-1006</v>
      </c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-11032</v>
      </c>
      <c r="E28" s="24">
        <v>-11021</v>
      </c>
      <c r="F28" s="24">
        <f t="shared" si="1"/>
        <v>11</v>
      </c>
      <c r="G28" s="208">
        <v>-11032</v>
      </c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-13271</v>
      </c>
      <c r="E29" s="24">
        <v>-11021</v>
      </c>
      <c r="F29" s="24">
        <f t="shared" si="1"/>
        <v>2250</v>
      </c>
      <c r="G29" s="208">
        <v>-13271</v>
      </c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-9271</v>
      </c>
      <c r="E30" s="24">
        <v>-15210</v>
      </c>
      <c r="F30" s="24">
        <f t="shared" si="1"/>
        <v>-5939</v>
      </c>
      <c r="G30" s="208">
        <v>-2754</v>
      </c>
      <c r="H30" s="14">
        <v>-6517</v>
      </c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-22554</v>
      </c>
      <c r="E31" s="24">
        <v>-21021</v>
      </c>
      <c r="F31" s="24">
        <f t="shared" si="1"/>
        <v>1533</v>
      </c>
      <c r="G31" s="208">
        <v>-2524</v>
      </c>
      <c r="H31" s="14">
        <v>-20030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-13730</v>
      </c>
      <c r="E32" s="24">
        <v>-12397</v>
      </c>
      <c r="F32" s="24">
        <f t="shared" si="1"/>
        <v>1333</v>
      </c>
      <c r="G32" s="208">
        <v>0</v>
      </c>
      <c r="H32" s="14">
        <v>-13730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-842875</v>
      </c>
      <c r="E37" s="24">
        <f>SUM(E6:E36)</f>
        <v>-845034</v>
      </c>
      <c r="F37" s="24">
        <f>SUM(F6:F36)</f>
        <v>-2159</v>
      </c>
      <c r="G37" s="208"/>
      <c r="H37" s="208"/>
      <c r="I37" s="208"/>
      <c r="J37" s="16">
        <f>+I37+H37+G37</f>
        <v>0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2.02</v>
      </c>
      <c r="G38" s="208"/>
      <c r="I38" s="14">
        <f>+H37+G37</f>
        <v>0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-4361.18</v>
      </c>
      <c r="G39" s="46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08">
        <v>37195</v>
      </c>
      <c r="E40" s="14"/>
      <c r="F40" s="565">
        <v>389644.14</v>
      </c>
      <c r="G40" s="46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08">
        <v>37225</v>
      </c>
      <c r="E41" s="14"/>
      <c r="F41" s="104">
        <f>+F40+F39</f>
        <v>385282.96</v>
      </c>
      <c r="G41" s="46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57">
        <v>-7465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37225</v>
      </c>
      <c r="B47" s="32"/>
      <c r="C47" s="32"/>
      <c r="D47" s="363">
        <f>+F37</f>
        <v>-2159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-9624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1" workbookViewId="0">
      <selection activeCell="D48" sqref="D48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109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5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5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5">
      <c r="A11" s="10">
        <v>4</v>
      </c>
      <c r="B11" s="11"/>
      <c r="C11" s="11"/>
      <c r="D11" s="11"/>
      <c r="E11" s="11">
        <v>68</v>
      </c>
      <c r="F11" s="25">
        <f t="shared" si="0"/>
        <v>68</v>
      </c>
    </row>
    <row r="12" spans="1:6" x14ac:dyDescent="0.25">
      <c r="A12" s="10">
        <v>5</v>
      </c>
      <c r="B12" s="11"/>
      <c r="C12" s="11"/>
      <c r="D12" s="11"/>
      <c r="E12" s="11">
        <v>68</v>
      </c>
      <c r="F12" s="25">
        <f t="shared" si="0"/>
        <v>68</v>
      </c>
    </row>
    <row r="13" spans="1:6" x14ac:dyDescent="0.25">
      <c r="A13" s="10">
        <v>6</v>
      </c>
      <c r="B13" s="11"/>
      <c r="C13" s="11"/>
      <c r="D13" s="11"/>
      <c r="E13" s="11">
        <v>68</v>
      </c>
      <c r="F13" s="25">
        <f t="shared" si="0"/>
        <v>68</v>
      </c>
    </row>
    <row r="14" spans="1:6" x14ac:dyDescent="0.25">
      <c r="A14" s="10">
        <v>7</v>
      </c>
      <c r="B14" s="11"/>
      <c r="C14" s="11"/>
      <c r="D14" s="11"/>
      <c r="E14" s="11">
        <v>68</v>
      </c>
      <c r="F14" s="25">
        <f t="shared" si="0"/>
        <v>68</v>
      </c>
    </row>
    <row r="15" spans="1:6" x14ac:dyDescent="0.25">
      <c r="A15" s="10">
        <v>8</v>
      </c>
      <c r="B15" s="11"/>
      <c r="C15" s="11"/>
      <c r="D15" s="11"/>
      <c r="E15" s="11">
        <v>68</v>
      </c>
      <c r="F15" s="25">
        <f t="shared" si="0"/>
        <v>68</v>
      </c>
    </row>
    <row r="16" spans="1:6" x14ac:dyDescent="0.25">
      <c r="A16" s="10">
        <v>9</v>
      </c>
      <c r="B16" s="11"/>
      <c r="C16" s="11"/>
      <c r="D16" s="11"/>
      <c r="E16" s="11">
        <v>68</v>
      </c>
      <c r="F16" s="25">
        <f t="shared" si="0"/>
        <v>68</v>
      </c>
    </row>
    <row r="17" spans="1:10" x14ac:dyDescent="0.25">
      <c r="A17" s="10">
        <v>10</v>
      </c>
      <c r="B17" s="11"/>
      <c r="C17" s="11"/>
      <c r="D17" s="11"/>
      <c r="E17" s="11">
        <v>68</v>
      </c>
      <c r="F17" s="25">
        <f t="shared" si="0"/>
        <v>68</v>
      </c>
      <c r="J17" s="333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680</v>
      </c>
      <c r="F39" s="25">
        <f>SUM(F8:F38)</f>
        <v>680</v>
      </c>
    </row>
    <row r="40" spans="1:6" x14ac:dyDescent="0.25">
      <c r="A40" s="26"/>
      <c r="C40" s="14"/>
      <c r="F40" s="258">
        <f>+summary!H4</f>
        <v>2.02</v>
      </c>
    </row>
    <row r="41" spans="1:6" x14ac:dyDescent="0.25">
      <c r="F41" s="138">
        <f>+F40*F39</f>
        <v>1373.6</v>
      </c>
    </row>
    <row r="42" spans="1:6" x14ac:dyDescent="0.25">
      <c r="A42" s="57">
        <v>37225</v>
      </c>
      <c r="C42" s="15"/>
      <c r="F42" s="567">
        <v>28945.49</v>
      </c>
    </row>
    <row r="43" spans="1:6" x14ac:dyDescent="0.25">
      <c r="A43" s="57">
        <v>37235</v>
      </c>
      <c r="C43" s="48"/>
      <c r="F43" s="138">
        <f>+F42+F41</f>
        <v>30319.09</v>
      </c>
    </row>
    <row r="47" spans="1:6" x14ac:dyDescent="0.25">
      <c r="A47" s="32" t="s">
        <v>152</v>
      </c>
      <c r="B47" s="32"/>
      <c r="C47" s="32"/>
      <c r="D47" s="32"/>
    </row>
    <row r="48" spans="1:6" x14ac:dyDescent="0.25">
      <c r="A48" s="49">
        <f>+A42</f>
        <v>37225</v>
      </c>
      <c r="B48" s="32"/>
      <c r="C48" s="32"/>
      <c r="D48" s="557">
        <v>-1615</v>
      </c>
    </row>
    <row r="49" spans="1:4" x14ac:dyDescent="0.25">
      <c r="A49" s="49">
        <f>+A43</f>
        <v>37235</v>
      </c>
      <c r="B49" s="32"/>
      <c r="C49" s="32"/>
      <c r="D49" s="363">
        <f>+F39</f>
        <v>680</v>
      </c>
    </row>
    <row r="50" spans="1:4" x14ac:dyDescent="0.25">
      <c r="A50" s="32"/>
      <c r="B50" s="32"/>
      <c r="C50" s="32"/>
      <c r="D50" s="14">
        <f>+D49+D48</f>
        <v>-935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4" workbookViewId="0">
      <selection activeCell="A41" sqref="A41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112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97"/>
    </row>
    <row r="41" spans="1:4" x14ac:dyDescent="0.25">
      <c r="A41" s="57">
        <v>37225</v>
      </c>
      <c r="C41" s="15"/>
      <c r="D41" s="507">
        <v>16648</v>
      </c>
    </row>
    <row r="42" spans="1:4" x14ac:dyDescent="0.25">
      <c r="A42" s="57">
        <v>37235</v>
      </c>
      <c r="C42" s="48"/>
      <c r="D42" s="24">
        <f>+D41+D39</f>
        <v>16648</v>
      </c>
    </row>
    <row r="43" spans="1:4" x14ac:dyDescent="0.25">
      <c r="D43" s="256"/>
    </row>
    <row r="44" spans="1:4" x14ac:dyDescent="0.25">
      <c r="D44" s="256"/>
    </row>
    <row r="46" spans="1:4" x14ac:dyDescent="0.25">
      <c r="A46" s="32" t="s">
        <v>153</v>
      </c>
      <c r="B46" s="32"/>
      <c r="C46" s="32"/>
      <c r="D46" s="32"/>
    </row>
    <row r="47" spans="1:4" x14ac:dyDescent="0.25">
      <c r="A47" s="49">
        <f>+A41</f>
        <v>37225</v>
      </c>
      <c r="B47" s="32"/>
      <c r="C47" s="32"/>
      <c r="D47" s="515">
        <v>383998.2</v>
      </c>
    </row>
    <row r="48" spans="1:4" x14ac:dyDescent="0.25">
      <c r="A48" s="49">
        <f>+A42</f>
        <v>37235</v>
      </c>
      <c r="B48" s="32"/>
      <c r="C48" s="32"/>
      <c r="D48" s="390">
        <f>+D39*summary!H4</f>
        <v>0</v>
      </c>
    </row>
    <row r="49" spans="1:4" x14ac:dyDescent="0.25">
      <c r="A49" s="32"/>
      <c r="B49" s="32"/>
      <c r="C49" s="32"/>
      <c r="D49" s="202">
        <f>+D48+D47</f>
        <v>383998.2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C39" sqref="C39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132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11</v>
      </c>
      <c r="B5" s="6" t="s">
        <v>20</v>
      </c>
      <c r="C5" s="6" t="s">
        <v>21</v>
      </c>
      <c r="G5" s="292"/>
      <c r="H5" s="292"/>
      <c r="I5" s="292"/>
      <c r="J5" s="292"/>
      <c r="K5" s="292"/>
      <c r="L5" s="292"/>
    </row>
    <row r="6" spans="1:14" x14ac:dyDescent="0.25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29" t="s">
        <v>58</v>
      </c>
      <c r="L6" s="189"/>
      <c r="M6" s="2"/>
      <c r="N6" s="34"/>
    </row>
    <row r="7" spans="1:14" x14ac:dyDescent="0.25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30" t="s">
        <v>20</v>
      </c>
      <c r="I7" s="430" t="s">
        <v>21</v>
      </c>
      <c r="J7" s="431" t="s">
        <v>50</v>
      </c>
      <c r="K7" s="429" t="s">
        <v>16</v>
      </c>
      <c r="L7" s="189" t="s">
        <v>28</v>
      </c>
      <c r="M7" s="2"/>
      <c r="N7" s="34"/>
    </row>
    <row r="8" spans="1:14" ht="15" customHeight="1" x14ac:dyDescent="0.25">
      <c r="A8" s="10">
        <v>3</v>
      </c>
      <c r="B8" s="11">
        <v>-83709</v>
      </c>
      <c r="C8" s="11">
        <v>-75300</v>
      </c>
      <c r="D8" s="25">
        <f t="shared" si="0"/>
        <v>8409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9">
        <v>5.62</v>
      </c>
      <c r="L8" s="434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-83059</v>
      </c>
      <c r="C9" s="11">
        <v>-80207</v>
      </c>
      <c r="D9" s="25">
        <f t="shared" si="0"/>
        <v>2852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9">
        <v>4.9800000000000004</v>
      </c>
      <c r="L9" s="434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-83684</v>
      </c>
      <c r="C10" s="11">
        <v>-85233</v>
      </c>
      <c r="D10" s="25">
        <f t="shared" si="0"/>
        <v>-1549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9">
        <v>4.87</v>
      </c>
      <c r="L10" s="434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-69154</v>
      </c>
      <c r="C11" s="11">
        <v>-85233</v>
      </c>
      <c r="D11" s="25">
        <f t="shared" si="0"/>
        <v>-16079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9">
        <v>3.82</v>
      </c>
      <c r="L11" s="434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-66976</v>
      </c>
      <c r="C12" s="11">
        <v>-58000</v>
      </c>
      <c r="D12" s="25">
        <f t="shared" si="0"/>
        <v>8976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9">
        <v>3.2</v>
      </c>
      <c r="L12" s="434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1">
        <v>-80299</v>
      </c>
      <c r="C13" s="11">
        <v>-76101</v>
      </c>
      <c r="D13" s="25">
        <f t="shared" si="0"/>
        <v>4198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9">
        <v>2.77</v>
      </c>
      <c r="L13" s="434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-90279</v>
      </c>
      <c r="C14" s="11">
        <v>-85236</v>
      </c>
      <c r="D14" s="25">
        <f t="shared" si="0"/>
        <v>5043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9">
        <v>2.77</v>
      </c>
      <c r="L14" s="434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-88269</v>
      </c>
      <c r="C15" s="11">
        <v>-85551</v>
      </c>
      <c r="D15" s="25">
        <f t="shared" si="0"/>
        <v>2718</v>
      </c>
      <c r="G15" s="456"/>
      <c r="H15" s="119"/>
      <c r="I15" s="119"/>
      <c r="J15" s="119"/>
      <c r="K15" s="429"/>
      <c r="L15" s="434"/>
      <c r="M15" s="104"/>
      <c r="N15" s="34"/>
    </row>
    <row r="16" spans="1:14" ht="15" customHeight="1" x14ac:dyDescent="0.25">
      <c r="A16" s="10">
        <v>11</v>
      </c>
      <c r="B16" s="11">
        <v>-87855</v>
      </c>
      <c r="C16" s="11">
        <v>-85279</v>
      </c>
      <c r="D16" s="25">
        <f t="shared" si="0"/>
        <v>2576</v>
      </c>
      <c r="G16" s="457"/>
      <c r="H16" s="34"/>
      <c r="I16" s="34"/>
      <c r="J16" s="189"/>
      <c r="K16" s="429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57"/>
      <c r="H17" s="34"/>
      <c r="I17" s="34"/>
      <c r="J17" s="317">
        <f>SUM(J8:J16)</f>
        <v>130492</v>
      </c>
      <c r="K17" s="429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29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192</v>
      </c>
      <c r="H19" s="119">
        <f>+B37</f>
        <v>-831864</v>
      </c>
      <c r="I19" s="119">
        <f>+C37</f>
        <v>-811208</v>
      </c>
      <c r="J19" s="119">
        <f>+I19-H19</f>
        <v>20656</v>
      </c>
      <c r="K19" s="429">
        <f>+D38</f>
        <v>2.02</v>
      </c>
      <c r="L19" s="434">
        <f>+K19*J19</f>
        <v>41725.120000000003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29"/>
      <c r="L20" s="434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25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193</v>
      </c>
      <c r="H24" s="24"/>
      <c r="I24" s="24"/>
      <c r="J24" s="24">
        <f>+J19+J17</f>
        <v>151148</v>
      </c>
      <c r="K24" s="425"/>
      <c r="L24" s="110">
        <f>+L19+L17</f>
        <v>123410.21999999983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25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194</v>
      </c>
      <c r="H26" s="24"/>
      <c r="I26" s="24"/>
      <c r="J26" s="110"/>
      <c r="K26" s="425"/>
      <c r="L26" s="24">
        <f>+L24/K19</f>
        <v>61094.168316831594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25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25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-831864</v>
      </c>
      <c r="C37" s="11">
        <f>SUM(C6:C36)</f>
        <v>-811208</v>
      </c>
      <c r="D37" s="25">
        <f>SUM(D6:D36)</f>
        <v>20656</v>
      </c>
    </row>
    <row r="38" spans="1:4" x14ac:dyDescent="0.25">
      <c r="A38" s="26"/>
      <c r="C38" s="14"/>
      <c r="D38" s="337">
        <f>+summary!H4</f>
        <v>2.02</v>
      </c>
    </row>
    <row r="39" spans="1:4" x14ac:dyDescent="0.25">
      <c r="D39" s="138">
        <f>+D38*D37</f>
        <v>41725.120000000003</v>
      </c>
    </row>
    <row r="40" spans="1:4" x14ac:dyDescent="0.25">
      <c r="A40" s="57">
        <v>37225</v>
      </c>
      <c r="C40" s="15"/>
      <c r="D40" s="567">
        <v>51989</v>
      </c>
    </row>
    <row r="41" spans="1:4" x14ac:dyDescent="0.25">
      <c r="A41" s="57">
        <v>37236</v>
      </c>
      <c r="C41" s="48"/>
      <c r="D41" s="138">
        <f>+D40+D39</f>
        <v>93714.12</v>
      </c>
    </row>
    <row r="44" spans="1:4" x14ac:dyDescent="0.25">
      <c r="A44" s="32" t="s">
        <v>152</v>
      </c>
      <c r="B44" s="32"/>
      <c r="C44" s="32"/>
      <c r="D44" s="32"/>
    </row>
    <row r="45" spans="1:4" x14ac:dyDescent="0.25">
      <c r="A45" s="49">
        <f>+A40</f>
        <v>37225</v>
      </c>
      <c r="B45" s="32"/>
      <c r="C45" s="32"/>
      <c r="D45" s="557">
        <v>116707</v>
      </c>
    </row>
    <row r="46" spans="1:4" x14ac:dyDescent="0.25">
      <c r="A46" s="49">
        <f>+A41</f>
        <v>37236</v>
      </c>
      <c r="B46" s="32"/>
      <c r="C46" s="32"/>
      <c r="D46" s="363">
        <f>+D37</f>
        <v>20656</v>
      </c>
    </row>
    <row r="47" spans="1:4" x14ac:dyDescent="0.25">
      <c r="A47" s="32"/>
      <c r="B47" s="32"/>
      <c r="C47" s="32"/>
      <c r="D47" s="14">
        <f>+D46+D45</f>
        <v>137363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25"/>
  <sheetViews>
    <sheetView workbookViewId="0"/>
  </sheetViews>
  <sheetFormatPr defaultColWidth="9.109375" defaultRowHeight="13.2" x14ac:dyDescent="0.25"/>
  <cols>
    <col min="1" max="1" width="22.109375" style="300" bestFit="1" customWidth="1"/>
    <col min="2" max="2" width="11.5546875" style="300" bestFit="1" customWidth="1"/>
    <col min="3" max="3" width="10.33203125" style="300" customWidth="1"/>
    <col min="4" max="4" width="11.44140625" style="300" bestFit="1" customWidth="1"/>
    <col min="5" max="5" width="11.88671875" style="300" bestFit="1" customWidth="1"/>
    <col min="6" max="7" width="11" style="300" bestFit="1" customWidth="1"/>
    <col min="8" max="10" width="11.33203125" style="300" bestFit="1" customWidth="1"/>
    <col min="11" max="11" width="13.109375" style="300" bestFit="1" customWidth="1"/>
    <col min="12" max="12" width="11.109375" style="300" bestFit="1" customWidth="1"/>
    <col min="13" max="13" width="9.5546875" style="300" bestFit="1" customWidth="1"/>
    <col min="14" max="14" width="10" style="300" bestFit="1" customWidth="1"/>
    <col min="15" max="16384" width="9.109375" style="300"/>
  </cols>
  <sheetData>
    <row r="3" spans="1:50" x14ac:dyDescent="0.25">
      <c r="A3" s="461" t="s">
        <v>168</v>
      </c>
      <c r="B3" s="462"/>
      <c r="C3" s="463"/>
      <c r="E3" s="149"/>
    </row>
    <row r="4" spans="1:50" x14ac:dyDescent="0.25">
      <c r="A4" s="206"/>
      <c r="B4" s="464"/>
      <c r="C4" s="464"/>
      <c r="D4" s="464"/>
      <c r="E4" s="149"/>
      <c r="F4" s="153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</row>
    <row r="5" spans="1:50" x14ac:dyDescent="0.25">
      <c r="A5" s="465" t="s">
        <v>90</v>
      </c>
      <c r="B5" s="466">
        <v>36861</v>
      </c>
      <c r="C5" s="466">
        <v>36892</v>
      </c>
      <c r="D5" s="467">
        <v>36923</v>
      </c>
      <c r="E5" s="467">
        <v>36951</v>
      </c>
      <c r="F5" s="467">
        <v>36982</v>
      </c>
      <c r="G5" s="467">
        <v>37012</v>
      </c>
      <c r="H5" s="473">
        <v>37043</v>
      </c>
      <c r="I5" s="468">
        <v>37073</v>
      </c>
      <c r="J5" s="468">
        <v>37104</v>
      </c>
      <c r="K5" s="468">
        <v>37135</v>
      </c>
      <c r="L5" s="498">
        <f>+Mojave!A40</f>
        <v>37235</v>
      </c>
      <c r="M5" s="469"/>
      <c r="N5" s="470"/>
      <c r="O5" s="469"/>
      <c r="P5" s="469"/>
      <c r="Q5" s="469"/>
      <c r="R5" s="469"/>
      <c r="S5" s="469"/>
      <c r="T5" s="470"/>
      <c r="U5" s="470"/>
      <c r="V5" s="470"/>
      <c r="W5" s="470"/>
      <c r="X5" s="470"/>
      <c r="Y5" s="470"/>
      <c r="Z5" s="470"/>
      <c r="AA5" s="470"/>
      <c r="AB5" s="470"/>
      <c r="AC5" s="470"/>
      <c r="AD5" s="470"/>
      <c r="AE5" s="470"/>
      <c r="AF5" s="470"/>
      <c r="AG5" s="470"/>
    </row>
    <row r="6" spans="1:50" x14ac:dyDescent="0.25">
      <c r="A6" s="471"/>
      <c r="B6" s="475"/>
      <c r="C6" s="475"/>
      <c r="D6" s="475"/>
      <c r="E6" s="475"/>
      <c r="F6" s="475"/>
      <c r="G6" s="475"/>
      <c r="H6" s="479"/>
      <c r="I6" s="479"/>
      <c r="J6" s="479"/>
      <c r="K6" s="479"/>
      <c r="L6" s="479"/>
      <c r="M6" s="475"/>
      <c r="N6" s="475"/>
      <c r="O6" s="475"/>
      <c r="P6" s="475"/>
      <c r="Q6" s="475"/>
      <c r="R6" s="475"/>
      <c r="S6" s="475"/>
      <c r="T6" s="475"/>
      <c r="U6" s="475"/>
      <c r="V6" s="475"/>
      <c r="W6" s="475"/>
      <c r="X6" s="475"/>
      <c r="Y6" s="475"/>
      <c r="Z6" s="475"/>
      <c r="AA6" s="475"/>
      <c r="AB6" s="475"/>
      <c r="AC6" s="475"/>
      <c r="AD6" s="475"/>
      <c r="AE6" s="475"/>
      <c r="AF6" s="475"/>
      <c r="AG6" s="475"/>
      <c r="AH6" s="475"/>
    </row>
    <row r="7" spans="1:50" x14ac:dyDescent="0.25">
      <c r="A7" s="206" t="s">
        <v>95</v>
      </c>
      <c r="B7" s="475">
        <v>75659</v>
      </c>
      <c r="C7" s="474">
        <v>63393</v>
      </c>
      <c r="D7" s="475">
        <v>41052</v>
      </c>
      <c r="E7" s="475">
        <v>3829</v>
      </c>
      <c r="F7" s="475">
        <v>26482</v>
      </c>
      <c r="G7" s="476">
        <v>3949</v>
      </c>
      <c r="H7" s="475">
        <v>133095</v>
      </c>
      <c r="I7" s="475">
        <v>135803</v>
      </c>
      <c r="J7" s="475">
        <v>151464</v>
      </c>
      <c r="K7" s="475">
        <v>134900.51</v>
      </c>
      <c r="L7" s="475">
        <f>+Mojave!D40</f>
        <v>180212</v>
      </c>
      <c r="M7" s="475"/>
      <c r="N7" s="475"/>
      <c r="O7" s="475"/>
      <c r="P7" s="475"/>
      <c r="Q7" s="475"/>
      <c r="R7" s="475"/>
      <c r="S7" s="475"/>
      <c r="T7" s="475"/>
      <c r="U7" s="475"/>
      <c r="V7" s="475"/>
      <c r="W7" s="475"/>
      <c r="X7" s="475"/>
      <c r="Y7" s="475"/>
      <c r="Z7" s="475"/>
      <c r="AA7" s="475"/>
      <c r="AB7" s="475"/>
      <c r="AC7" s="475"/>
      <c r="AD7" s="475"/>
      <c r="AE7" s="475"/>
      <c r="AF7" s="475"/>
      <c r="AG7" s="475"/>
      <c r="AH7" s="475"/>
      <c r="AI7" s="477"/>
      <c r="AJ7" s="477"/>
      <c r="AK7" s="477"/>
      <c r="AL7" s="477"/>
      <c r="AM7" s="477"/>
      <c r="AN7" s="477"/>
      <c r="AO7" s="477"/>
      <c r="AP7" s="477"/>
      <c r="AQ7" s="477"/>
      <c r="AR7" s="477"/>
      <c r="AS7" s="477"/>
      <c r="AT7" s="477"/>
      <c r="AU7" s="477"/>
      <c r="AV7" s="477"/>
      <c r="AW7" s="477"/>
      <c r="AX7" s="477"/>
    </row>
    <row r="8" spans="1:50" x14ac:dyDescent="0.25">
      <c r="A8" s="206" t="s">
        <v>33</v>
      </c>
      <c r="B8" s="475">
        <v>-42847</v>
      </c>
      <c r="C8" s="474">
        <v>-2392</v>
      </c>
      <c r="D8" s="475">
        <v>-1948</v>
      </c>
      <c r="E8" s="475">
        <v>47976</v>
      </c>
      <c r="F8" s="475">
        <v>39224</v>
      </c>
      <c r="G8" s="476">
        <v>-21565</v>
      </c>
      <c r="H8" s="475">
        <v>123192</v>
      </c>
      <c r="I8" s="475">
        <v>145102</v>
      </c>
      <c r="J8" s="475">
        <v>151133</v>
      </c>
      <c r="K8" s="475">
        <v>294649</v>
      </c>
      <c r="L8" s="475">
        <f>+SoCal!F40</f>
        <v>157452</v>
      </c>
      <c r="M8" s="475"/>
      <c r="N8" s="475"/>
      <c r="O8" s="475"/>
      <c r="P8" s="475"/>
      <c r="Q8" s="475"/>
      <c r="R8" s="475"/>
      <c r="S8" s="475"/>
      <c r="T8" s="475"/>
      <c r="U8" s="475"/>
      <c r="V8" s="475"/>
      <c r="W8" s="475"/>
      <c r="X8" s="475"/>
      <c r="Y8" s="475"/>
      <c r="Z8" s="475"/>
      <c r="AA8" s="475"/>
      <c r="AB8" s="475"/>
      <c r="AC8" s="475"/>
      <c r="AD8" s="475"/>
      <c r="AE8" s="475"/>
      <c r="AF8" s="475"/>
      <c r="AG8" s="475"/>
      <c r="AH8" s="475"/>
      <c r="AI8" s="477"/>
      <c r="AJ8" s="477"/>
      <c r="AK8" s="477"/>
      <c r="AL8" s="477"/>
      <c r="AM8" s="477"/>
      <c r="AN8" s="477"/>
      <c r="AO8" s="477"/>
      <c r="AP8" s="477"/>
      <c r="AQ8" s="477"/>
      <c r="AR8" s="477"/>
      <c r="AS8" s="477"/>
      <c r="AT8" s="477"/>
      <c r="AU8" s="477"/>
      <c r="AV8" s="477"/>
      <c r="AW8" s="477"/>
      <c r="AX8" s="477"/>
    </row>
    <row r="9" spans="1:50" x14ac:dyDescent="0.25">
      <c r="A9" s="206" t="s">
        <v>115</v>
      </c>
      <c r="B9" s="475">
        <v>147492</v>
      </c>
      <c r="C9" s="474">
        <v>59676</v>
      </c>
      <c r="D9" s="475">
        <v>69410</v>
      </c>
      <c r="E9" s="475">
        <v>93592</v>
      </c>
      <c r="F9" s="475">
        <v>38770</v>
      </c>
      <c r="G9" s="476">
        <v>-10045</v>
      </c>
      <c r="H9" s="475">
        <v>-12760</v>
      </c>
      <c r="I9" s="475">
        <v>24900</v>
      </c>
      <c r="J9" s="475">
        <v>43542</v>
      </c>
      <c r="K9" s="475">
        <v>73067</v>
      </c>
      <c r="L9" s="475">
        <f>+'PG&amp;E'!D40</f>
        <v>82027</v>
      </c>
      <c r="M9" s="475"/>
      <c r="N9" s="475"/>
      <c r="O9" s="475"/>
      <c r="P9" s="475"/>
      <c r="Q9" s="475"/>
      <c r="R9" s="475"/>
      <c r="S9" s="475"/>
      <c r="T9" s="475"/>
      <c r="U9" s="475"/>
      <c r="V9" s="475"/>
      <c r="W9" s="475"/>
      <c r="X9" s="475"/>
      <c r="Y9" s="475"/>
      <c r="Z9" s="475"/>
      <c r="AA9" s="475"/>
      <c r="AB9" s="475"/>
      <c r="AC9" s="475"/>
      <c r="AD9" s="475"/>
      <c r="AE9" s="475"/>
      <c r="AF9" s="475"/>
      <c r="AG9" s="475"/>
      <c r="AH9" s="475"/>
      <c r="AI9" s="477"/>
      <c r="AJ9" s="477"/>
      <c r="AK9" s="477"/>
      <c r="AL9" s="477"/>
      <c r="AM9" s="477"/>
      <c r="AN9" s="477"/>
      <c r="AO9" s="477"/>
      <c r="AP9" s="477"/>
      <c r="AQ9" s="477"/>
      <c r="AR9" s="477"/>
      <c r="AS9" s="477"/>
      <c r="AT9" s="477"/>
      <c r="AU9" s="477"/>
      <c r="AV9" s="477"/>
      <c r="AW9" s="477"/>
      <c r="AX9" s="477"/>
    </row>
    <row r="10" spans="1:50" x14ac:dyDescent="0.25">
      <c r="A10" s="206" t="s">
        <v>186</v>
      </c>
      <c r="B10" s="475">
        <v>-7121</v>
      </c>
      <c r="C10" s="475">
        <v>-7121</v>
      </c>
      <c r="D10" s="475">
        <v>-7121</v>
      </c>
      <c r="E10" s="475">
        <v>23739</v>
      </c>
      <c r="F10" s="475">
        <v>47545</v>
      </c>
      <c r="G10" s="475">
        <v>47545</v>
      </c>
      <c r="H10" s="475">
        <v>50521</v>
      </c>
      <c r="I10" s="475">
        <v>64269</v>
      </c>
      <c r="J10" s="475">
        <v>64269</v>
      </c>
      <c r="K10" s="475">
        <v>64269</v>
      </c>
      <c r="L10" s="475">
        <f>+'El Paso'!C39</f>
        <v>64166</v>
      </c>
      <c r="M10" s="475"/>
      <c r="N10" s="475"/>
      <c r="O10" s="475"/>
      <c r="P10" s="475"/>
      <c r="Q10" s="475"/>
      <c r="R10" s="475"/>
      <c r="S10" s="475"/>
      <c r="T10" s="475"/>
      <c r="U10" s="475"/>
      <c r="V10" s="475"/>
      <c r="W10" s="475"/>
      <c r="X10" s="475"/>
      <c r="Y10" s="475"/>
      <c r="Z10" s="475"/>
      <c r="AA10" s="475"/>
      <c r="AB10" s="475"/>
      <c r="AC10" s="475"/>
      <c r="AD10" s="475"/>
      <c r="AE10" s="475"/>
      <c r="AF10" s="475"/>
      <c r="AG10" s="475"/>
      <c r="AH10" s="475"/>
      <c r="AI10" s="477"/>
      <c r="AJ10" s="477"/>
      <c r="AK10" s="477"/>
      <c r="AL10" s="477"/>
      <c r="AM10" s="477"/>
      <c r="AN10" s="477"/>
      <c r="AO10" s="477"/>
      <c r="AP10" s="477"/>
      <c r="AQ10" s="477"/>
      <c r="AR10" s="477"/>
      <c r="AS10" s="477"/>
      <c r="AT10" s="477"/>
      <c r="AU10" s="477"/>
      <c r="AV10" s="477"/>
      <c r="AW10" s="477"/>
      <c r="AX10" s="477"/>
    </row>
    <row r="11" spans="1:50" x14ac:dyDescent="0.25">
      <c r="A11" s="206" t="s">
        <v>209</v>
      </c>
      <c r="B11" s="475">
        <v>-32074</v>
      </c>
      <c r="C11" s="474">
        <v>-32074</v>
      </c>
      <c r="D11" s="475">
        <v>-25783</v>
      </c>
      <c r="E11" s="475">
        <v>-25783</v>
      </c>
      <c r="F11" s="475">
        <v>19880</v>
      </c>
      <c r="G11" s="476">
        <v>37616</v>
      </c>
      <c r="H11" s="476">
        <v>72277</v>
      </c>
      <c r="I11" s="475">
        <v>30271</v>
      </c>
      <c r="J11" s="475">
        <v>12393</v>
      </c>
      <c r="K11" s="475">
        <v>8222</v>
      </c>
      <c r="L11" s="475">
        <f>+NGPL!C34-NGPL!B34+volvalue!K11</f>
        <v>9143</v>
      </c>
      <c r="M11" s="475"/>
      <c r="N11" s="475"/>
      <c r="O11" s="475"/>
      <c r="P11" s="475"/>
      <c r="Q11" s="475"/>
      <c r="R11" s="475"/>
      <c r="S11" s="475"/>
      <c r="T11" s="475"/>
      <c r="U11" s="475"/>
      <c r="V11" s="475"/>
      <c r="W11" s="475"/>
      <c r="X11" s="475"/>
      <c r="Y11" s="475"/>
      <c r="Z11" s="475"/>
      <c r="AA11" s="475"/>
      <c r="AB11" s="475"/>
      <c r="AC11" s="475"/>
      <c r="AD11" s="475"/>
      <c r="AE11" s="475"/>
      <c r="AF11" s="475"/>
      <c r="AG11" s="475"/>
      <c r="AH11" s="475"/>
      <c r="AI11" s="477"/>
      <c r="AJ11" s="477"/>
      <c r="AK11" s="477"/>
      <c r="AL11" s="477"/>
      <c r="AM11" s="477"/>
      <c r="AN11" s="477"/>
      <c r="AO11" s="477"/>
      <c r="AP11" s="477"/>
      <c r="AQ11" s="477"/>
      <c r="AR11" s="477"/>
      <c r="AS11" s="477"/>
      <c r="AT11" s="477"/>
      <c r="AU11" s="477"/>
      <c r="AV11" s="477"/>
      <c r="AW11" s="477"/>
      <c r="AX11" s="477"/>
    </row>
    <row r="12" spans="1:50" x14ac:dyDescent="0.25">
      <c r="A12" s="480" t="s">
        <v>210</v>
      </c>
      <c r="B12" s="481">
        <v>81654</v>
      </c>
      <c r="C12" s="483">
        <v>79650</v>
      </c>
      <c r="D12" s="481">
        <v>30618</v>
      </c>
      <c r="E12" s="481">
        <v>43969</v>
      </c>
      <c r="F12" s="481">
        <v>37185</v>
      </c>
      <c r="G12" s="482">
        <v>54911</v>
      </c>
      <c r="H12" s="482">
        <v>120061</v>
      </c>
      <c r="I12" s="481">
        <v>120061</v>
      </c>
      <c r="J12" s="481">
        <v>127284</v>
      </c>
      <c r="K12" s="481">
        <v>107975</v>
      </c>
      <c r="L12" s="489">
        <f>+NGPL!E34-NGPL!D34+volvalue!K12</f>
        <v>66492</v>
      </c>
      <c r="N12" s="475"/>
      <c r="O12" s="475"/>
      <c r="P12" s="475"/>
      <c r="Q12" s="475"/>
      <c r="R12" s="475"/>
      <c r="S12" s="475"/>
      <c r="T12" s="475"/>
      <c r="U12" s="475"/>
      <c r="V12" s="475"/>
      <c r="W12" s="475"/>
      <c r="X12" s="475"/>
      <c r="Y12" s="475"/>
      <c r="Z12" s="475"/>
      <c r="AA12" s="475"/>
      <c r="AB12" s="475"/>
      <c r="AC12" s="475"/>
      <c r="AD12" s="475"/>
      <c r="AE12" s="475"/>
      <c r="AF12" s="475"/>
      <c r="AG12" s="475"/>
      <c r="AH12" s="475"/>
      <c r="AI12" s="477"/>
      <c r="AJ12" s="477"/>
      <c r="AK12" s="477"/>
      <c r="AL12" s="477"/>
      <c r="AM12" s="477"/>
      <c r="AN12" s="477"/>
      <c r="AO12" s="477"/>
      <c r="AP12" s="477"/>
      <c r="AQ12" s="477"/>
      <c r="AR12" s="477"/>
      <c r="AS12" s="477"/>
      <c r="AT12" s="477"/>
      <c r="AU12" s="477"/>
      <c r="AV12" s="477"/>
      <c r="AW12" s="477"/>
      <c r="AX12" s="477"/>
    </row>
    <row r="13" spans="1:50" x14ac:dyDescent="0.25">
      <c r="A13" s="206" t="s">
        <v>144</v>
      </c>
      <c r="B13" s="475">
        <v>11018</v>
      </c>
      <c r="C13" s="474">
        <v>12567</v>
      </c>
      <c r="D13" s="478">
        <v>19121</v>
      </c>
      <c r="E13" s="475">
        <v>30904</v>
      </c>
      <c r="F13" s="475">
        <v>33216</v>
      </c>
      <c r="G13" s="476">
        <v>27926</v>
      </c>
      <c r="H13" s="475">
        <v>95102</v>
      </c>
      <c r="I13" s="475">
        <v>76325</v>
      </c>
      <c r="J13" s="475">
        <v>48988</v>
      </c>
      <c r="K13" s="475">
        <v>-29618</v>
      </c>
      <c r="L13" s="475">
        <f>+PEPL!D41</f>
        <v>-22665</v>
      </c>
      <c r="M13" s="475"/>
      <c r="N13" s="475"/>
      <c r="O13" s="475"/>
      <c r="P13" s="475"/>
      <c r="Q13" s="475"/>
      <c r="R13" s="475"/>
      <c r="S13" s="475"/>
      <c r="T13" s="475"/>
      <c r="U13" s="475"/>
      <c r="V13" s="475"/>
      <c r="W13" s="475"/>
      <c r="X13" s="475"/>
      <c r="Y13" s="475"/>
      <c r="Z13" s="475"/>
      <c r="AA13" s="475"/>
      <c r="AB13" s="475"/>
      <c r="AC13" s="475"/>
      <c r="AD13" s="475"/>
      <c r="AE13" s="475"/>
      <c r="AF13" s="475"/>
      <c r="AG13" s="475"/>
      <c r="AH13" s="475"/>
      <c r="AI13" s="477"/>
      <c r="AJ13" s="477"/>
      <c r="AK13" s="477"/>
      <c r="AL13" s="477"/>
      <c r="AM13" s="477"/>
      <c r="AN13" s="477"/>
      <c r="AO13" s="477"/>
      <c r="AP13" s="477"/>
      <c r="AQ13" s="477"/>
      <c r="AR13" s="477"/>
      <c r="AS13" s="477"/>
      <c r="AT13" s="477"/>
      <c r="AU13" s="477"/>
      <c r="AV13" s="477"/>
      <c r="AW13" s="477"/>
      <c r="AX13" s="477"/>
    </row>
    <row r="14" spans="1:50" x14ac:dyDescent="0.25">
      <c r="A14" s="206" t="s">
        <v>7</v>
      </c>
      <c r="B14" s="475">
        <v>70928</v>
      </c>
      <c r="C14" s="474">
        <v>24533</v>
      </c>
      <c r="D14" s="475">
        <v>29886</v>
      </c>
      <c r="E14" s="475">
        <v>22591</v>
      </c>
      <c r="F14" s="475">
        <v>45729</v>
      </c>
      <c r="G14" s="476">
        <v>1307</v>
      </c>
      <c r="H14" s="475">
        <v>28278</v>
      </c>
      <c r="I14" s="475">
        <v>34979</v>
      </c>
      <c r="J14" s="475">
        <v>47553</v>
      </c>
      <c r="K14" s="475">
        <v>58685</v>
      </c>
      <c r="L14" s="475">
        <f>+Oasis!D40</f>
        <v>-7820</v>
      </c>
      <c r="M14" s="475"/>
      <c r="N14" s="475"/>
      <c r="O14" s="475"/>
      <c r="P14" s="475"/>
      <c r="Q14" s="475"/>
      <c r="R14" s="475"/>
      <c r="S14" s="475"/>
      <c r="T14" s="475"/>
      <c r="U14" s="475"/>
      <c r="V14" s="475"/>
      <c r="W14" s="475"/>
      <c r="X14" s="475"/>
      <c r="Y14" s="475"/>
      <c r="Z14" s="475"/>
      <c r="AA14" s="475"/>
      <c r="AB14" s="475"/>
      <c r="AC14" s="475"/>
      <c r="AD14" s="475"/>
      <c r="AE14" s="475"/>
      <c r="AF14" s="475"/>
      <c r="AG14" s="475"/>
      <c r="AH14" s="475"/>
      <c r="AI14" s="477"/>
      <c r="AJ14" s="477"/>
      <c r="AK14" s="477"/>
      <c r="AL14" s="477"/>
      <c r="AM14" s="477"/>
      <c r="AN14" s="477"/>
      <c r="AO14" s="477"/>
      <c r="AP14" s="477"/>
      <c r="AQ14" s="477"/>
      <c r="AR14" s="477"/>
      <c r="AS14" s="477"/>
      <c r="AT14" s="477"/>
      <c r="AU14" s="477"/>
      <c r="AV14" s="477"/>
      <c r="AW14" s="477"/>
      <c r="AX14" s="477"/>
    </row>
    <row r="15" spans="1:50" x14ac:dyDescent="0.25">
      <c r="A15" s="206" t="s">
        <v>32</v>
      </c>
      <c r="B15" s="475">
        <v>-7752</v>
      </c>
      <c r="C15" s="474">
        <v>3487</v>
      </c>
      <c r="D15" s="475">
        <v>3487</v>
      </c>
      <c r="E15" s="475">
        <v>6729</v>
      </c>
      <c r="F15" s="475">
        <v>54217</v>
      </c>
      <c r="G15" s="476">
        <v>61895</v>
      </c>
      <c r="H15" s="475">
        <v>69314</v>
      </c>
      <c r="I15" s="475">
        <v>36339</v>
      </c>
      <c r="J15" s="475">
        <v>73003</v>
      </c>
      <c r="K15" s="475">
        <v>69880</v>
      </c>
      <c r="L15" s="475">
        <f>+Lonestar!F42</f>
        <v>802</v>
      </c>
      <c r="M15" s="475"/>
      <c r="N15" s="475"/>
      <c r="O15" s="475"/>
      <c r="P15" s="475"/>
      <c r="Q15" s="475"/>
      <c r="R15" s="475"/>
      <c r="S15" s="475"/>
      <c r="T15" s="475"/>
      <c r="U15" s="475"/>
      <c r="V15" s="475"/>
      <c r="W15" s="475"/>
      <c r="X15" s="475"/>
      <c r="Y15" s="475"/>
      <c r="Z15" s="475"/>
      <c r="AA15" s="475"/>
      <c r="AB15" s="475"/>
      <c r="AC15" s="475"/>
      <c r="AD15" s="475"/>
      <c r="AE15" s="475"/>
      <c r="AF15" s="475"/>
      <c r="AG15" s="475"/>
      <c r="AH15" s="475"/>
      <c r="AI15" s="477"/>
      <c r="AJ15" s="477"/>
      <c r="AK15" s="477"/>
      <c r="AL15" s="477"/>
      <c r="AM15" s="477"/>
      <c r="AN15" s="477"/>
      <c r="AO15" s="477"/>
      <c r="AP15" s="477"/>
      <c r="AQ15" s="477"/>
      <c r="AR15" s="477"/>
      <c r="AS15" s="477"/>
      <c r="AT15" s="477"/>
      <c r="AU15" s="477"/>
      <c r="AV15" s="477"/>
      <c r="AW15" s="477"/>
      <c r="AX15" s="477"/>
    </row>
    <row r="16" spans="1:50" x14ac:dyDescent="0.25">
      <c r="A16" s="206"/>
      <c r="B16" s="475">
        <f>SUM(B7:B15)</f>
        <v>296957</v>
      </c>
      <c r="C16" s="475">
        <f>SUM(C7:C15)</f>
        <v>201719</v>
      </c>
      <c r="D16" s="475">
        <f t="shared" ref="D16:L16" si="0">SUM(D7:D15)</f>
        <v>158722</v>
      </c>
      <c r="E16" s="475">
        <f t="shared" si="0"/>
        <v>247546</v>
      </c>
      <c r="F16" s="475">
        <f t="shared" si="0"/>
        <v>342248</v>
      </c>
      <c r="G16" s="475">
        <f t="shared" si="0"/>
        <v>203539</v>
      </c>
      <c r="H16" s="475">
        <f t="shared" si="0"/>
        <v>679080</v>
      </c>
      <c r="I16" s="475">
        <f t="shared" si="0"/>
        <v>668049</v>
      </c>
      <c r="J16" s="475">
        <f t="shared" si="0"/>
        <v>719629</v>
      </c>
      <c r="K16" s="475">
        <f t="shared" si="0"/>
        <v>782029.51</v>
      </c>
      <c r="L16" s="475">
        <f t="shared" si="0"/>
        <v>529809</v>
      </c>
      <c r="M16" s="475"/>
      <c r="N16" s="475"/>
      <c r="O16" s="475"/>
      <c r="P16" s="475"/>
      <c r="Q16" s="475"/>
      <c r="R16" s="475"/>
      <c r="S16" s="475"/>
      <c r="T16" s="475"/>
      <c r="U16" s="475"/>
      <c r="V16" s="475"/>
      <c r="W16" s="475"/>
      <c r="X16" s="475"/>
      <c r="Y16" s="475"/>
      <c r="Z16" s="475"/>
      <c r="AA16" s="475"/>
      <c r="AB16" s="475"/>
      <c r="AC16" s="475"/>
      <c r="AD16" s="475"/>
      <c r="AE16" s="475"/>
      <c r="AF16" s="475"/>
      <c r="AG16" s="475"/>
      <c r="AH16" s="475"/>
      <c r="AI16" s="477"/>
      <c r="AJ16" s="477"/>
      <c r="AK16" s="477"/>
      <c r="AL16" s="477"/>
      <c r="AM16" s="477"/>
      <c r="AN16" s="477"/>
      <c r="AO16" s="477"/>
      <c r="AP16" s="477"/>
      <c r="AQ16" s="477"/>
      <c r="AR16" s="477"/>
      <c r="AS16" s="477"/>
      <c r="AT16" s="477"/>
      <c r="AU16" s="477"/>
      <c r="AV16" s="477"/>
      <c r="AW16" s="477"/>
      <c r="AX16" s="477"/>
    </row>
    <row r="18" spans="1:50" x14ac:dyDescent="0.25">
      <c r="A18" s="484" t="s">
        <v>211</v>
      </c>
      <c r="B18" s="485"/>
      <c r="C18" s="485">
        <v>8.2100000000000009</v>
      </c>
      <c r="D18" s="485">
        <v>5.62</v>
      </c>
      <c r="E18" s="485">
        <v>4.9800000000000004</v>
      </c>
      <c r="F18" s="485">
        <v>4.87</v>
      </c>
      <c r="G18" s="485">
        <v>3.82</v>
      </c>
      <c r="H18" s="485">
        <v>3.2</v>
      </c>
      <c r="I18" s="485">
        <v>2.77</v>
      </c>
      <c r="J18" s="485">
        <v>2.77</v>
      </c>
      <c r="K18" s="485">
        <v>1.88</v>
      </c>
      <c r="L18" s="485">
        <f>+'[1]1001'!$M$39</f>
        <v>2.04</v>
      </c>
      <c r="M18" s="485"/>
      <c r="N18" s="485"/>
      <c r="O18" s="475"/>
      <c r="P18" s="475"/>
      <c r="Q18" s="475"/>
      <c r="R18" s="475"/>
      <c r="S18" s="475"/>
      <c r="T18" s="475"/>
      <c r="U18" s="475"/>
      <c r="V18" s="475"/>
      <c r="W18" s="475"/>
      <c r="X18" s="475"/>
      <c r="Y18" s="475"/>
      <c r="Z18" s="475"/>
      <c r="AA18" s="475"/>
      <c r="AB18" s="475"/>
      <c r="AC18" s="475"/>
      <c r="AD18" s="475"/>
      <c r="AE18" s="475"/>
      <c r="AF18" s="475"/>
      <c r="AG18" s="475"/>
      <c r="AH18" s="475"/>
      <c r="AI18" s="477"/>
      <c r="AJ18" s="477"/>
      <c r="AK18" s="477"/>
      <c r="AL18" s="477"/>
      <c r="AM18" s="477"/>
      <c r="AN18" s="477"/>
      <c r="AO18" s="477"/>
      <c r="AP18" s="477"/>
      <c r="AQ18" s="477"/>
      <c r="AR18" s="477"/>
      <c r="AS18" s="477"/>
      <c r="AT18" s="477"/>
      <c r="AU18" s="477"/>
      <c r="AV18" s="477"/>
      <c r="AW18" s="477"/>
      <c r="AX18" s="477"/>
    </row>
    <row r="19" spans="1:50" s="472" customFormat="1" x14ac:dyDescent="0.25">
      <c r="A19" s="359"/>
      <c r="B19" s="486"/>
      <c r="C19" s="487">
        <f t="shared" ref="C19:L19" si="1">+C18*B16</f>
        <v>2438016.9700000002</v>
      </c>
      <c r="D19" s="487">
        <f t="shared" si="1"/>
        <v>1133660.78</v>
      </c>
      <c r="E19" s="487">
        <f t="shared" si="1"/>
        <v>790435.56</v>
      </c>
      <c r="F19" s="487">
        <f t="shared" si="1"/>
        <v>1205549.02</v>
      </c>
      <c r="G19" s="487">
        <f t="shared" si="1"/>
        <v>1307387.3599999999</v>
      </c>
      <c r="H19" s="487">
        <f t="shared" si="1"/>
        <v>651324.80000000005</v>
      </c>
      <c r="I19" s="487">
        <f t="shared" si="1"/>
        <v>1881051.6</v>
      </c>
      <c r="J19" s="487">
        <f t="shared" si="1"/>
        <v>1850495.73</v>
      </c>
      <c r="K19" s="487">
        <f t="shared" si="1"/>
        <v>1352902.52</v>
      </c>
      <c r="L19" s="487">
        <f t="shared" si="1"/>
        <v>1595340.2004</v>
      </c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6"/>
      <c r="Y19" s="486"/>
      <c r="Z19" s="486"/>
      <c r="AA19" s="486"/>
      <c r="AB19" s="486"/>
      <c r="AC19" s="486"/>
      <c r="AD19" s="486"/>
      <c r="AE19" s="486"/>
      <c r="AF19" s="486"/>
      <c r="AG19" s="486"/>
      <c r="AH19" s="486"/>
      <c r="AI19" s="488"/>
      <c r="AJ19" s="488"/>
      <c r="AK19" s="488"/>
      <c r="AL19" s="488"/>
      <c r="AM19" s="488"/>
      <c r="AN19" s="488"/>
      <c r="AO19" s="488"/>
      <c r="AP19" s="488"/>
      <c r="AQ19" s="488"/>
      <c r="AR19" s="488"/>
      <c r="AS19" s="488"/>
      <c r="AT19" s="488"/>
      <c r="AU19" s="488"/>
      <c r="AV19" s="488"/>
      <c r="AW19" s="488"/>
      <c r="AX19" s="488"/>
    </row>
    <row r="20" spans="1:50" s="472" customFormat="1" x14ac:dyDescent="0.25">
      <c r="A20" s="359"/>
      <c r="B20" s="486"/>
      <c r="C20" s="487"/>
      <c r="D20" s="487">
        <f t="shared" ref="D20:L20" si="2">+D19-C19</f>
        <v>-1304356.1900000002</v>
      </c>
      <c r="E20" s="487">
        <f t="shared" si="2"/>
        <v>-343225.22</v>
      </c>
      <c r="F20" s="487">
        <f t="shared" si="2"/>
        <v>415113.45999999996</v>
      </c>
      <c r="G20" s="487">
        <f t="shared" si="2"/>
        <v>101838.33999999985</v>
      </c>
      <c r="H20" s="487">
        <f t="shared" si="2"/>
        <v>-656062.55999999982</v>
      </c>
      <c r="I20" s="487">
        <f t="shared" si="2"/>
        <v>1229726.8</v>
      </c>
      <c r="J20" s="487">
        <f t="shared" si="2"/>
        <v>-30555.870000000112</v>
      </c>
      <c r="K20" s="487">
        <f t="shared" si="2"/>
        <v>-497593.20999999996</v>
      </c>
      <c r="L20" s="487">
        <f t="shared" si="2"/>
        <v>242437.68039999995</v>
      </c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6"/>
      <c r="Y20" s="486"/>
      <c r="Z20" s="486"/>
      <c r="AA20" s="486"/>
      <c r="AB20" s="486"/>
      <c r="AC20" s="486"/>
      <c r="AD20" s="486"/>
      <c r="AE20" s="486"/>
      <c r="AF20" s="486"/>
      <c r="AG20" s="486"/>
      <c r="AH20" s="486"/>
      <c r="AI20" s="488"/>
      <c r="AJ20" s="488"/>
      <c r="AK20" s="488"/>
      <c r="AL20" s="488"/>
      <c r="AM20" s="488"/>
      <c r="AN20" s="488"/>
      <c r="AO20" s="488"/>
      <c r="AP20" s="488"/>
      <c r="AQ20" s="488"/>
      <c r="AR20" s="488"/>
      <c r="AS20" s="488"/>
      <c r="AT20" s="488"/>
      <c r="AU20" s="488"/>
      <c r="AV20" s="488"/>
      <c r="AW20" s="488"/>
      <c r="AX20" s="488"/>
    </row>
    <row r="21" spans="1:50" s="472" customFormat="1" x14ac:dyDescent="0.25">
      <c r="A21" s="359"/>
      <c r="B21" s="486"/>
      <c r="C21" s="487"/>
      <c r="D21" s="487"/>
      <c r="E21" s="487"/>
      <c r="F21" s="487"/>
      <c r="G21" s="487"/>
      <c r="H21" s="487"/>
      <c r="I21" s="487"/>
      <c r="J21" s="487"/>
      <c r="K21" s="487"/>
      <c r="L21" s="487"/>
      <c r="M21" s="486"/>
      <c r="N21" s="486"/>
      <c r="O21" s="486"/>
      <c r="P21" s="486"/>
      <c r="Q21" s="486"/>
      <c r="R21" s="486"/>
      <c r="S21" s="486"/>
      <c r="T21" s="486"/>
      <c r="U21" s="486"/>
      <c r="V21" s="486"/>
      <c r="W21" s="486"/>
      <c r="X21" s="486"/>
      <c r="Y21" s="486"/>
      <c r="Z21" s="486"/>
      <c r="AA21" s="486"/>
      <c r="AB21" s="486"/>
      <c r="AC21" s="486"/>
      <c r="AD21" s="486"/>
      <c r="AE21" s="486"/>
      <c r="AF21" s="486"/>
      <c r="AG21" s="486"/>
      <c r="AH21" s="486"/>
      <c r="AI21" s="488"/>
      <c r="AJ21" s="488"/>
      <c r="AK21" s="488"/>
      <c r="AL21" s="488"/>
      <c r="AM21" s="488"/>
      <c r="AN21" s="488"/>
      <c r="AO21" s="488"/>
      <c r="AP21" s="488"/>
      <c r="AQ21" s="488"/>
      <c r="AR21" s="488"/>
      <c r="AS21" s="488"/>
      <c r="AT21" s="488"/>
      <c r="AU21" s="488"/>
      <c r="AV21" s="488"/>
      <c r="AW21" s="488"/>
      <c r="AX21" s="488"/>
    </row>
    <row r="22" spans="1:50" x14ac:dyDescent="0.25">
      <c r="R22" s="475"/>
      <c r="S22" s="475"/>
      <c r="T22" s="475"/>
      <c r="U22" s="475"/>
      <c r="V22" s="475"/>
      <c r="W22" s="475"/>
      <c r="X22" s="475"/>
      <c r="Y22" s="475"/>
      <c r="Z22" s="475"/>
      <c r="AA22" s="475"/>
      <c r="AB22" s="475"/>
      <c r="AC22" s="475"/>
      <c r="AD22" s="475"/>
      <c r="AE22" s="475"/>
      <c r="AF22" s="475"/>
      <c r="AG22" s="475"/>
      <c r="AH22" s="475"/>
      <c r="AI22" s="477"/>
      <c r="AJ22" s="477"/>
      <c r="AK22" s="477"/>
      <c r="AL22" s="477"/>
      <c r="AM22" s="477"/>
      <c r="AN22" s="477"/>
      <c r="AO22" s="477"/>
      <c r="AP22" s="477"/>
      <c r="AQ22" s="477"/>
      <c r="AR22" s="477"/>
      <c r="AS22" s="477"/>
      <c r="AT22" s="477"/>
      <c r="AU22" s="477"/>
      <c r="AV22" s="477"/>
      <c r="AW22" s="477"/>
      <c r="AX22" s="477"/>
    </row>
    <row r="23" spans="1:50" ht="13.5" customHeight="1" x14ac:dyDescent="0.25">
      <c r="A23" s="206" t="s">
        <v>29</v>
      </c>
      <c r="B23" s="475">
        <v>-70145</v>
      </c>
      <c r="C23" s="474">
        <v>-44467</v>
      </c>
      <c r="D23" s="475">
        <v>-9747</v>
      </c>
      <c r="E23" s="475">
        <v>30129</v>
      </c>
      <c r="F23" s="475">
        <v>121747</v>
      </c>
      <c r="G23" s="476">
        <v>278779</v>
      </c>
      <c r="H23" s="476">
        <v>286331</v>
      </c>
      <c r="I23" s="475">
        <v>310267</v>
      </c>
      <c r="J23" s="475">
        <v>275390</v>
      </c>
      <c r="K23" s="475">
        <v>230460</v>
      </c>
      <c r="L23" s="475">
        <f>+williams!J40</f>
        <v>116446</v>
      </c>
      <c r="M23" s="475"/>
      <c r="N23" s="475"/>
      <c r="O23" s="475"/>
      <c r="P23" s="475"/>
      <c r="Q23" s="475"/>
      <c r="R23" s="475"/>
      <c r="S23" s="475"/>
      <c r="T23" s="475"/>
      <c r="U23" s="475"/>
      <c r="V23" s="475"/>
      <c r="W23" s="475"/>
      <c r="X23" s="475"/>
      <c r="Y23" s="475"/>
      <c r="Z23" s="475"/>
      <c r="AA23" s="475"/>
      <c r="AB23" s="475"/>
      <c r="AC23" s="475"/>
      <c r="AD23" s="475"/>
      <c r="AE23" s="475"/>
      <c r="AF23" s="475"/>
      <c r="AG23" s="475"/>
      <c r="AH23" s="475"/>
      <c r="AI23" s="477"/>
      <c r="AJ23" s="477"/>
      <c r="AK23" s="477"/>
      <c r="AL23" s="477"/>
      <c r="AM23" s="477"/>
      <c r="AN23" s="477"/>
      <c r="AO23" s="477"/>
      <c r="AP23" s="477"/>
      <c r="AQ23" s="477"/>
      <c r="AR23" s="477"/>
      <c r="AS23" s="477"/>
      <c r="AT23" s="477"/>
      <c r="AU23" s="477"/>
      <c r="AV23" s="477"/>
      <c r="AW23" s="477"/>
      <c r="AX23" s="477"/>
    </row>
    <row r="24" spans="1:50" x14ac:dyDescent="0.25">
      <c r="A24" s="206" t="s">
        <v>208</v>
      </c>
      <c r="B24" s="475">
        <v>-55807</v>
      </c>
      <c r="C24" s="474">
        <v>-32211</v>
      </c>
      <c r="D24" s="475">
        <v>-38475</v>
      </c>
      <c r="E24" s="475">
        <v>-32230</v>
      </c>
      <c r="F24" s="475">
        <v>82528</v>
      </c>
      <c r="G24" s="476">
        <v>94855</v>
      </c>
      <c r="H24" s="476">
        <v>59179</v>
      </c>
      <c r="I24" s="475">
        <v>54883</v>
      </c>
      <c r="J24" s="475">
        <v>87070</v>
      </c>
      <c r="K24" s="475">
        <v>50022</v>
      </c>
      <c r="L24" s="475">
        <f>+Amoco!D40</f>
        <v>-60977</v>
      </c>
      <c r="M24" s="490"/>
      <c r="N24" s="490"/>
      <c r="O24" s="475"/>
      <c r="P24" s="475"/>
      <c r="Q24" s="475"/>
      <c r="R24" s="475"/>
      <c r="S24" s="475"/>
      <c r="T24" s="475"/>
      <c r="U24" s="475"/>
      <c r="V24" s="475"/>
      <c r="W24" s="475"/>
      <c r="X24" s="475"/>
      <c r="Y24" s="475"/>
      <c r="Z24" s="475"/>
      <c r="AA24" s="475"/>
      <c r="AB24" s="475"/>
      <c r="AC24" s="475"/>
      <c r="AD24" s="475"/>
      <c r="AE24" s="475"/>
      <c r="AF24" s="475"/>
      <c r="AG24" s="475"/>
      <c r="AH24" s="475"/>
      <c r="AI24" s="477"/>
      <c r="AJ24" s="477"/>
      <c r="AK24" s="477"/>
      <c r="AL24" s="477"/>
      <c r="AM24" s="477"/>
      <c r="AN24" s="477"/>
      <c r="AO24" s="477"/>
      <c r="AP24" s="477"/>
      <c r="AQ24" s="477"/>
      <c r="AR24" s="477"/>
      <c r="AS24" s="477"/>
      <c r="AT24" s="477"/>
      <c r="AU24" s="477"/>
      <c r="AV24" s="477"/>
      <c r="AW24" s="477"/>
      <c r="AX24" s="477"/>
    </row>
    <row r="25" spans="1:50" x14ac:dyDescent="0.25">
      <c r="A25" s="206" t="s">
        <v>187</v>
      </c>
      <c r="B25" s="475">
        <v>268892</v>
      </c>
      <c r="C25" s="474">
        <v>198073</v>
      </c>
      <c r="D25" s="475">
        <v>173680</v>
      </c>
      <c r="E25" s="475">
        <v>168646</v>
      </c>
      <c r="F25" s="475">
        <v>255346</v>
      </c>
      <c r="G25" s="476">
        <v>300960</v>
      </c>
      <c r="H25" s="476">
        <v>170528</v>
      </c>
      <c r="I25" s="475">
        <v>27596</v>
      </c>
      <c r="J25" s="475">
        <v>-65974</v>
      </c>
      <c r="K25" s="475">
        <v>-75692</v>
      </c>
      <c r="L25" s="475">
        <f>+'El Paso'!E39</f>
        <v>-30636</v>
      </c>
      <c r="M25" s="475"/>
      <c r="N25" s="475"/>
      <c r="O25" s="475"/>
      <c r="P25" s="475"/>
      <c r="Q25" s="475"/>
      <c r="R25" s="475"/>
      <c r="S25" s="475"/>
      <c r="T25" s="475"/>
      <c r="U25" s="475"/>
      <c r="V25" s="475"/>
      <c r="W25" s="475"/>
      <c r="X25" s="475"/>
      <c r="Y25" s="475"/>
      <c r="Z25" s="475"/>
      <c r="AA25" s="475"/>
      <c r="AB25" s="475"/>
      <c r="AC25" s="475"/>
      <c r="AD25" s="475"/>
      <c r="AE25" s="475"/>
      <c r="AF25" s="475"/>
      <c r="AG25" s="475"/>
      <c r="AH25" s="475"/>
      <c r="AI25" s="477"/>
      <c r="AJ25" s="477"/>
      <c r="AK25" s="477"/>
      <c r="AL25" s="477"/>
      <c r="AM25" s="477"/>
      <c r="AN25" s="477"/>
      <c r="AO25" s="477"/>
      <c r="AP25" s="477"/>
      <c r="AQ25" s="477"/>
      <c r="AR25" s="477"/>
      <c r="AS25" s="477"/>
      <c r="AT25" s="477"/>
      <c r="AU25" s="477"/>
      <c r="AV25" s="477"/>
      <c r="AW25" s="477"/>
      <c r="AX25" s="477"/>
    </row>
    <row r="26" spans="1:50" x14ac:dyDescent="0.25">
      <c r="A26" s="206" t="s">
        <v>1</v>
      </c>
      <c r="B26" s="475">
        <v>-119838</v>
      </c>
      <c r="C26" s="474">
        <v>-60187</v>
      </c>
      <c r="D26" s="475">
        <v>6957</v>
      </c>
      <c r="E26" s="475">
        <v>-37371</v>
      </c>
      <c r="F26" s="475">
        <v>-18982</v>
      </c>
      <c r="G26" s="476">
        <v>-386</v>
      </c>
      <c r="H26" s="476">
        <v>11234</v>
      </c>
      <c r="I26" s="475">
        <v>5110</v>
      </c>
      <c r="J26" s="475">
        <v>70754</v>
      </c>
      <c r="K26" s="475">
        <v>51156</v>
      </c>
      <c r="L26" s="475">
        <f>+NW!F41</f>
        <v>16015</v>
      </c>
      <c r="M26" s="475"/>
      <c r="N26" s="475"/>
      <c r="O26" s="475"/>
      <c r="P26" s="475"/>
      <c r="Q26" s="475"/>
      <c r="R26" s="475"/>
      <c r="S26" s="475"/>
      <c r="T26" s="475"/>
      <c r="U26" s="475"/>
      <c r="V26" s="475"/>
      <c r="W26" s="475"/>
      <c r="X26" s="475"/>
      <c r="Y26" s="475"/>
      <c r="Z26" s="475"/>
      <c r="AA26" s="475"/>
      <c r="AB26" s="475"/>
      <c r="AC26" s="475"/>
      <c r="AD26" s="475"/>
      <c r="AE26" s="475"/>
      <c r="AF26" s="475"/>
      <c r="AG26" s="475"/>
      <c r="AH26" s="475"/>
      <c r="AI26" s="477"/>
      <c r="AJ26" s="477"/>
      <c r="AK26" s="477"/>
      <c r="AL26" s="477"/>
      <c r="AM26" s="477"/>
      <c r="AN26" s="477"/>
      <c r="AO26" s="477"/>
      <c r="AP26" s="477"/>
      <c r="AQ26" s="477"/>
      <c r="AR26" s="477"/>
      <c r="AS26" s="477"/>
      <c r="AT26" s="477"/>
      <c r="AU26" s="477"/>
      <c r="AV26" s="477"/>
      <c r="AW26" s="477"/>
      <c r="AX26" s="477"/>
    </row>
    <row r="27" spans="1:50" x14ac:dyDescent="0.25">
      <c r="A27" s="206"/>
      <c r="B27" s="475">
        <f t="shared" ref="B27:L27" si="3">SUM(B23:B26)</f>
        <v>23102</v>
      </c>
      <c r="C27" s="475">
        <f t="shared" si="3"/>
        <v>61208</v>
      </c>
      <c r="D27" s="475">
        <f t="shared" si="3"/>
        <v>132415</v>
      </c>
      <c r="E27" s="475">
        <f t="shared" si="3"/>
        <v>129174</v>
      </c>
      <c r="F27" s="475">
        <f t="shared" si="3"/>
        <v>440639</v>
      </c>
      <c r="G27" s="475">
        <f t="shared" si="3"/>
        <v>674208</v>
      </c>
      <c r="H27" s="475">
        <f t="shared" si="3"/>
        <v>527272</v>
      </c>
      <c r="I27" s="475">
        <f t="shared" si="3"/>
        <v>397856</v>
      </c>
      <c r="J27" s="475">
        <f t="shared" si="3"/>
        <v>367240</v>
      </c>
      <c r="K27" s="475">
        <f t="shared" si="3"/>
        <v>255946</v>
      </c>
      <c r="L27" s="475">
        <f t="shared" si="3"/>
        <v>40848</v>
      </c>
      <c r="M27" s="475"/>
      <c r="N27" s="475"/>
      <c r="O27" s="475"/>
      <c r="P27" s="475"/>
      <c r="Q27" s="475"/>
      <c r="R27" s="475"/>
      <c r="S27" s="475"/>
      <c r="T27" s="475"/>
      <c r="U27" s="475"/>
      <c r="V27" s="475"/>
      <c r="W27" s="475"/>
      <c r="X27" s="475"/>
      <c r="Y27" s="475"/>
      <c r="Z27" s="475"/>
      <c r="AA27" s="475"/>
      <c r="AB27" s="475"/>
      <c r="AC27" s="475"/>
      <c r="AD27" s="475"/>
      <c r="AE27" s="475"/>
      <c r="AF27" s="475"/>
      <c r="AG27" s="475"/>
      <c r="AH27" s="475"/>
      <c r="AI27" s="477"/>
      <c r="AJ27" s="477"/>
      <c r="AK27" s="477"/>
      <c r="AL27" s="477"/>
      <c r="AM27" s="477"/>
      <c r="AN27" s="477"/>
      <c r="AO27" s="477"/>
      <c r="AP27" s="477"/>
      <c r="AQ27" s="477"/>
      <c r="AR27" s="477"/>
      <c r="AS27" s="477"/>
      <c r="AT27" s="477"/>
      <c r="AU27" s="477"/>
      <c r="AV27" s="477"/>
      <c r="AW27" s="477"/>
      <c r="AX27" s="477"/>
    </row>
    <row r="29" spans="1:50" x14ac:dyDescent="0.25">
      <c r="A29" s="484" t="s">
        <v>212</v>
      </c>
      <c r="B29" s="485"/>
      <c r="C29" s="485">
        <v>8.1</v>
      </c>
      <c r="D29" s="485">
        <v>5.61</v>
      </c>
      <c r="E29" s="485">
        <v>4.87</v>
      </c>
      <c r="F29" s="485">
        <v>4.62</v>
      </c>
      <c r="G29" s="485">
        <v>3.44</v>
      </c>
      <c r="H29" s="485">
        <v>2.58</v>
      </c>
      <c r="I29" s="485">
        <v>2.4500000000000002</v>
      </c>
      <c r="J29" s="485">
        <v>2.61</v>
      </c>
      <c r="K29" s="485">
        <v>1.73</v>
      </c>
      <c r="L29" s="485">
        <f>+'[1]1001'!$K$39</f>
        <v>1.98</v>
      </c>
      <c r="M29" s="485"/>
      <c r="N29" s="485"/>
      <c r="O29" s="475"/>
      <c r="P29" s="475"/>
      <c r="Q29" s="475"/>
      <c r="R29" s="475"/>
      <c r="S29" s="475"/>
      <c r="T29" s="475"/>
      <c r="U29" s="475"/>
      <c r="V29" s="475"/>
      <c r="W29" s="475"/>
      <c r="X29" s="475"/>
      <c r="Y29" s="475"/>
      <c r="Z29" s="475"/>
      <c r="AA29" s="475"/>
      <c r="AB29" s="475"/>
      <c r="AC29" s="475"/>
      <c r="AD29" s="475"/>
      <c r="AE29" s="475"/>
      <c r="AF29" s="475"/>
      <c r="AG29" s="475"/>
      <c r="AH29" s="475"/>
      <c r="AI29" s="477"/>
      <c r="AJ29" s="477"/>
      <c r="AK29" s="477"/>
      <c r="AL29" s="477"/>
      <c r="AM29" s="477"/>
      <c r="AN29" s="477"/>
      <c r="AO29" s="477"/>
      <c r="AP29" s="477"/>
      <c r="AQ29" s="477"/>
      <c r="AR29" s="477"/>
      <c r="AS29" s="477"/>
      <c r="AT29" s="477"/>
      <c r="AU29" s="477"/>
      <c r="AV29" s="477"/>
      <c r="AW29" s="477"/>
      <c r="AX29" s="477"/>
    </row>
    <row r="30" spans="1:50" x14ac:dyDescent="0.25">
      <c r="A30" s="206"/>
      <c r="B30" s="475"/>
      <c r="C30" s="475">
        <f t="shared" ref="C30:J30" si="4">+C29*B27</f>
        <v>187126.19999999998</v>
      </c>
      <c r="D30" s="475">
        <f t="shared" si="4"/>
        <v>343376.88</v>
      </c>
      <c r="E30" s="475">
        <f t="shared" si="4"/>
        <v>644861.05000000005</v>
      </c>
      <c r="F30" s="475">
        <f t="shared" si="4"/>
        <v>596783.88</v>
      </c>
      <c r="G30" s="475">
        <f t="shared" si="4"/>
        <v>1515798.16</v>
      </c>
      <c r="H30" s="475">
        <f t="shared" si="4"/>
        <v>1739456.6400000001</v>
      </c>
      <c r="I30" s="475">
        <f t="shared" si="4"/>
        <v>1291816.4000000001</v>
      </c>
      <c r="J30" s="475">
        <f t="shared" si="4"/>
        <v>1038404.1599999999</v>
      </c>
      <c r="K30" s="475">
        <f>+J27*K29</f>
        <v>635325.19999999995</v>
      </c>
      <c r="L30" s="475">
        <f>+K27*L29</f>
        <v>506773.08</v>
      </c>
      <c r="M30" s="475"/>
      <c r="N30" s="475"/>
      <c r="O30" s="475"/>
      <c r="P30" s="475"/>
      <c r="Q30" s="475"/>
      <c r="R30" s="475"/>
      <c r="S30" s="475"/>
      <c r="T30" s="475"/>
      <c r="U30" s="475"/>
      <c r="V30" s="475"/>
      <c r="W30" s="475"/>
      <c r="X30" s="475"/>
      <c r="Y30" s="475"/>
      <c r="Z30" s="475"/>
      <c r="AA30" s="475"/>
      <c r="AB30" s="475"/>
      <c r="AC30" s="475"/>
      <c r="AD30" s="475"/>
      <c r="AE30" s="475"/>
      <c r="AF30" s="475"/>
      <c r="AG30" s="475"/>
      <c r="AH30" s="475"/>
      <c r="AI30" s="477"/>
      <c r="AJ30" s="477"/>
      <c r="AK30" s="477"/>
      <c r="AL30" s="477"/>
      <c r="AM30" s="477"/>
      <c r="AN30" s="477"/>
      <c r="AO30" s="477"/>
      <c r="AP30" s="477"/>
      <c r="AQ30" s="477"/>
      <c r="AR30" s="477"/>
      <c r="AS30" s="477"/>
      <c r="AT30" s="477"/>
      <c r="AU30" s="477"/>
      <c r="AV30" s="477"/>
      <c r="AW30" s="477"/>
      <c r="AX30" s="477"/>
    </row>
    <row r="31" spans="1:50" s="477" customFormat="1" ht="11.4" x14ac:dyDescent="0.2">
      <c r="D31" s="489">
        <f t="shared" ref="D31:L31" si="5">+D30-C30</f>
        <v>156250.68000000002</v>
      </c>
      <c r="E31" s="489">
        <f t="shared" si="5"/>
        <v>301484.17000000004</v>
      </c>
      <c r="F31" s="489">
        <f t="shared" si="5"/>
        <v>-48077.170000000042</v>
      </c>
      <c r="G31" s="489">
        <f t="shared" si="5"/>
        <v>919014.27999999991</v>
      </c>
      <c r="H31" s="489">
        <f t="shared" si="5"/>
        <v>223658.48000000021</v>
      </c>
      <c r="I31" s="489">
        <f t="shared" si="5"/>
        <v>-447640.24</v>
      </c>
      <c r="J31" s="489">
        <f t="shared" si="5"/>
        <v>-253412.24000000022</v>
      </c>
      <c r="K31" s="489">
        <f t="shared" si="5"/>
        <v>-403078.95999999996</v>
      </c>
      <c r="L31" s="489">
        <f t="shared" si="5"/>
        <v>-128552.11999999994</v>
      </c>
    </row>
    <row r="32" spans="1:50" s="477" customFormat="1" ht="11.4" x14ac:dyDescent="0.2">
      <c r="B32" s="485"/>
      <c r="C32" s="485"/>
      <c r="D32" s="485"/>
      <c r="E32" s="485"/>
      <c r="F32" s="485"/>
      <c r="G32" s="485"/>
      <c r="H32" s="485"/>
      <c r="I32" s="485"/>
      <c r="J32" s="485"/>
      <c r="K32" s="485"/>
      <c r="L32" s="485"/>
      <c r="M32" s="485"/>
      <c r="N32" s="485"/>
      <c r="O32" s="475"/>
      <c r="P32" s="475"/>
      <c r="Q32" s="475"/>
      <c r="R32" s="475"/>
      <c r="S32" s="475"/>
      <c r="T32" s="475"/>
      <c r="U32" s="475"/>
      <c r="V32" s="475"/>
      <c r="W32" s="475"/>
      <c r="X32" s="475"/>
      <c r="Y32" s="475"/>
      <c r="Z32" s="475"/>
      <c r="AA32" s="475"/>
      <c r="AB32" s="475"/>
      <c r="AC32" s="475"/>
      <c r="AD32" s="475"/>
      <c r="AE32" s="475"/>
      <c r="AF32" s="475"/>
      <c r="AG32" s="475"/>
      <c r="AH32" s="475"/>
    </row>
    <row r="33" spans="1:50" s="477" customFormat="1" ht="11.4" x14ac:dyDescent="0.2">
      <c r="B33" s="485"/>
      <c r="C33" s="485"/>
      <c r="D33" s="485"/>
      <c r="E33" s="485"/>
      <c r="F33" s="485"/>
      <c r="G33" s="485"/>
      <c r="H33" s="485"/>
      <c r="I33" s="485"/>
      <c r="J33" s="485"/>
      <c r="K33" s="485"/>
      <c r="L33" s="485"/>
      <c r="M33" s="485"/>
      <c r="N33" s="485"/>
      <c r="O33" s="475"/>
      <c r="P33" s="475"/>
      <c r="Q33" s="475"/>
      <c r="R33" s="475"/>
      <c r="S33" s="475"/>
      <c r="T33" s="475"/>
      <c r="U33" s="475"/>
      <c r="V33" s="475"/>
      <c r="W33" s="475"/>
      <c r="X33" s="475"/>
      <c r="Y33" s="475"/>
      <c r="Z33" s="475"/>
      <c r="AA33" s="475"/>
      <c r="AB33" s="475"/>
      <c r="AC33" s="475"/>
      <c r="AD33" s="475"/>
      <c r="AE33" s="475"/>
      <c r="AF33" s="475"/>
      <c r="AG33" s="475"/>
      <c r="AH33" s="475"/>
    </row>
    <row r="34" spans="1:50" s="472" customFormat="1" x14ac:dyDescent="0.25">
      <c r="A34" s="359"/>
      <c r="B34" s="486"/>
      <c r="C34" s="486"/>
      <c r="D34" s="486">
        <f t="shared" ref="D34:L34" si="6">+D31+D20</f>
        <v>-1148105.5100000002</v>
      </c>
      <c r="E34" s="486">
        <f t="shared" si="6"/>
        <v>-41741.04999999993</v>
      </c>
      <c r="F34" s="486">
        <f t="shared" si="6"/>
        <v>367036.28999999992</v>
      </c>
      <c r="G34" s="486">
        <f t="shared" si="6"/>
        <v>1020852.6199999998</v>
      </c>
      <c r="H34" s="486">
        <f t="shared" si="6"/>
        <v>-432404.07999999961</v>
      </c>
      <c r="I34" s="486">
        <f t="shared" si="6"/>
        <v>782086.56</v>
      </c>
      <c r="J34" s="486">
        <f t="shared" si="6"/>
        <v>-283968.11000000034</v>
      </c>
      <c r="K34" s="486">
        <f t="shared" si="6"/>
        <v>-900672.16999999993</v>
      </c>
      <c r="L34" s="486">
        <f t="shared" si="6"/>
        <v>113885.56040000002</v>
      </c>
      <c r="M34" s="486"/>
      <c r="N34" s="486"/>
      <c r="O34" s="486"/>
      <c r="P34" s="486"/>
      <c r="Q34" s="486"/>
      <c r="R34" s="486"/>
      <c r="S34" s="486"/>
      <c r="T34" s="486"/>
      <c r="U34" s="486"/>
      <c r="V34" s="486"/>
      <c r="W34" s="486"/>
      <c r="X34" s="486"/>
      <c r="Y34" s="486"/>
      <c r="Z34" s="486"/>
      <c r="AA34" s="486"/>
      <c r="AB34" s="486"/>
      <c r="AC34" s="486"/>
      <c r="AD34" s="486"/>
      <c r="AE34" s="486"/>
      <c r="AF34" s="486"/>
      <c r="AG34" s="486"/>
      <c r="AH34" s="486"/>
      <c r="AI34" s="488"/>
      <c r="AJ34" s="488"/>
      <c r="AK34" s="488"/>
      <c r="AL34" s="488"/>
      <c r="AM34" s="488"/>
      <c r="AN34" s="488"/>
      <c r="AO34" s="488"/>
      <c r="AP34" s="488"/>
      <c r="AQ34" s="488"/>
      <c r="AR34" s="488"/>
      <c r="AS34" s="488"/>
      <c r="AT34" s="488"/>
      <c r="AU34" s="488"/>
      <c r="AV34" s="488"/>
      <c r="AW34" s="488"/>
      <c r="AX34" s="488"/>
    </row>
    <row r="35" spans="1:50" x14ac:dyDescent="0.25">
      <c r="A35" s="206"/>
      <c r="B35" s="485"/>
      <c r="C35" s="485"/>
      <c r="D35" s="485"/>
      <c r="E35" s="485"/>
      <c r="F35" s="485"/>
      <c r="G35" s="485"/>
      <c r="H35" s="485"/>
      <c r="I35" s="485"/>
      <c r="J35" s="485"/>
      <c r="K35" s="485"/>
      <c r="L35" s="485"/>
      <c r="M35" s="485"/>
      <c r="N35" s="485"/>
      <c r="O35" s="475"/>
      <c r="P35" s="475"/>
      <c r="Q35" s="475"/>
      <c r="R35" s="475"/>
      <c r="S35" s="475"/>
      <c r="T35" s="475"/>
      <c r="U35" s="475"/>
      <c r="V35" s="475"/>
      <c r="W35" s="475"/>
      <c r="X35" s="475"/>
      <c r="Y35" s="475"/>
      <c r="Z35" s="475"/>
      <c r="AA35" s="475"/>
      <c r="AB35" s="475"/>
      <c r="AC35" s="475"/>
      <c r="AD35" s="475"/>
      <c r="AE35" s="475"/>
      <c r="AF35" s="475"/>
      <c r="AG35" s="475"/>
      <c r="AH35" s="475"/>
      <c r="AI35" s="477"/>
      <c r="AJ35" s="477"/>
      <c r="AK35" s="477"/>
      <c r="AL35" s="477"/>
      <c r="AM35" s="477"/>
      <c r="AN35" s="477"/>
      <c r="AO35" s="477"/>
      <c r="AP35" s="477"/>
      <c r="AQ35" s="477"/>
      <c r="AR35" s="477"/>
      <c r="AS35" s="477"/>
      <c r="AT35" s="477"/>
      <c r="AU35" s="477"/>
      <c r="AV35" s="477"/>
      <c r="AW35" s="477"/>
      <c r="AX35" s="477"/>
    </row>
    <row r="36" spans="1:50" x14ac:dyDescent="0.25">
      <c r="A36" s="206"/>
      <c r="B36" s="475"/>
      <c r="C36" s="475"/>
      <c r="D36" s="475"/>
      <c r="E36" s="475"/>
      <c r="F36" s="475"/>
      <c r="G36" s="475"/>
      <c r="H36" s="475"/>
      <c r="I36" s="475"/>
      <c r="J36" s="475"/>
      <c r="K36" s="475"/>
      <c r="L36" s="475"/>
      <c r="M36" s="475"/>
      <c r="N36" s="475"/>
      <c r="O36" s="475"/>
      <c r="P36" s="475"/>
      <c r="Q36" s="475"/>
      <c r="R36" s="475"/>
      <c r="S36" s="475"/>
      <c r="T36" s="475"/>
      <c r="U36" s="475"/>
      <c r="V36" s="475"/>
      <c r="W36" s="475"/>
      <c r="X36" s="475"/>
      <c r="Y36" s="475"/>
      <c r="Z36" s="475"/>
      <c r="AA36" s="475"/>
      <c r="AB36" s="475"/>
      <c r="AC36" s="475"/>
      <c r="AD36" s="475"/>
      <c r="AE36" s="475"/>
      <c r="AF36" s="475"/>
      <c r="AG36" s="475"/>
      <c r="AH36" s="475"/>
      <c r="AI36" s="477"/>
      <c r="AJ36" s="477"/>
      <c r="AK36" s="477"/>
      <c r="AL36" s="477"/>
      <c r="AM36" s="477"/>
      <c r="AN36" s="477"/>
      <c r="AO36" s="477"/>
      <c r="AP36" s="477"/>
      <c r="AQ36" s="477"/>
      <c r="AR36" s="477"/>
      <c r="AS36" s="477"/>
      <c r="AT36" s="477"/>
      <c r="AU36" s="477"/>
      <c r="AV36" s="477"/>
      <c r="AW36" s="477"/>
      <c r="AX36" s="477"/>
    </row>
    <row r="37" spans="1:50" x14ac:dyDescent="0.25">
      <c r="A37" s="206"/>
      <c r="B37" s="475"/>
      <c r="C37" s="475"/>
      <c r="D37" s="475"/>
      <c r="E37" s="475"/>
      <c r="F37" s="475"/>
      <c r="G37" s="475"/>
      <c r="H37" s="475"/>
      <c r="I37" s="475"/>
      <c r="J37" s="475"/>
      <c r="K37" s="475"/>
      <c r="L37" s="475"/>
      <c r="M37" s="475"/>
      <c r="N37" s="475"/>
      <c r="O37" s="475"/>
      <c r="P37" s="475"/>
      <c r="Q37" s="475"/>
      <c r="R37" s="475"/>
      <c r="S37" s="475"/>
      <c r="T37" s="475"/>
      <c r="U37" s="475"/>
      <c r="V37" s="475"/>
      <c r="W37" s="475"/>
      <c r="X37" s="475"/>
      <c r="Y37" s="475"/>
      <c r="Z37" s="475"/>
      <c r="AA37" s="475"/>
      <c r="AB37" s="475"/>
      <c r="AC37" s="475"/>
      <c r="AD37" s="475"/>
      <c r="AE37" s="475"/>
      <c r="AF37" s="475"/>
      <c r="AG37" s="475"/>
      <c r="AH37" s="475"/>
      <c r="AI37" s="477"/>
      <c r="AJ37" s="477"/>
      <c r="AK37" s="477"/>
      <c r="AL37" s="477"/>
      <c r="AM37" s="477"/>
      <c r="AN37" s="477"/>
      <c r="AO37" s="477"/>
      <c r="AP37" s="477"/>
      <c r="AQ37" s="477"/>
      <c r="AR37" s="477"/>
      <c r="AS37" s="477"/>
      <c r="AT37" s="477"/>
      <c r="AU37" s="477"/>
      <c r="AV37" s="477"/>
      <c r="AW37" s="477"/>
      <c r="AX37" s="477"/>
    </row>
    <row r="38" spans="1:50" x14ac:dyDescent="0.25">
      <c r="A38" s="206"/>
      <c r="B38" s="475"/>
      <c r="C38" s="475"/>
      <c r="D38" s="475"/>
      <c r="E38" s="475"/>
      <c r="F38" s="475"/>
      <c r="G38" s="475"/>
      <c r="H38" s="475">
        <f>+H27+H16</f>
        <v>1206352</v>
      </c>
      <c r="I38" s="475">
        <f>+I27+I16</f>
        <v>1065905</v>
      </c>
      <c r="J38" s="475">
        <f>+J27+J16</f>
        <v>1086869</v>
      </c>
      <c r="K38" s="475">
        <f>+K27+K16</f>
        <v>1037975.51</v>
      </c>
      <c r="L38" s="475">
        <f>+L27+L16</f>
        <v>570657</v>
      </c>
      <c r="M38" s="475"/>
      <c r="N38" s="475"/>
      <c r="O38" s="475"/>
      <c r="P38" s="475"/>
      <c r="Q38" s="475"/>
      <c r="R38" s="475"/>
      <c r="S38" s="475"/>
      <c r="T38" s="475"/>
      <c r="U38" s="475"/>
      <c r="V38" s="475"/>
      <c r="W38" s="475"/>
      <c r="X38" s="475"/>
      <c r="Y38" s="475"/>
      <c r="Z38" s="475"/>
      <c r="AA38" s="475"/>
      <c r="AB38" s="475"/>
      <c r="AC38" s="475"/>
      <c r="AD38" s="475"/>
      <c r="AE38" s="475"/>
      <c r="AF38" s="475"/>
      <c r="AG38" s="475"/>
      <c r="AH38" s="475"/>
      <c r="AI38" s="477"/>
      <c r="AJ38" s="477"/>
      <c r="AK38" s="477"/>
      <c r="AL38" s="477"/>
      <c r="AM38" s="477"/>
      <c r="AN38" s="477"/>
      <c r="AO38" s="477"/>
      <c r="AP38" s="477"/>
      <c r="AQ38" s="477"/>
      <c r="AR38" s="477"/>
      <c r="AS38" s="477"/>
      <c r="AT38" s="477"/>
      <c r="AU38" s="477"/>
      <c r="AV38" s="477"/>
      <c r="AW38" s="477"/>
      <c r="AX38" s="477"/>
    </row>
    <row r="39" spans="1:50" x14ac:dyDescent="0.25">
      <c r="A39" s="206"/>
      <c r="B39" s="475"/>
      <c r="C39" s="475"/>
      <c r="D39" s="475"/>
      <c r="E39" s="475"/>
      <c r="F39" s="475"/>
      <c r="G39" s="475"/>
      <c r="H39" s="475"/>
      <c r="I39" s="475"/>
      <c r="J39" s="475"/>
      <c r="K39" s="475"/>
      <c r="L39" s="475"/>
      <c r="M39" s="475"/>
      <c r="N39" s="475"/>
      <c r="O39" s="475"/>
      <c r="P39" s="475"/>
      <c r="Q39" s="475"/>
      <c r="R39" s="475"/>
      <c r="S39" s="475"/>
      <c r="T39" s="475"/>
      <c r="U39" s="475"/>
      <c r="V39" s="475"/>
      <c r="W39" s="475"/>
      <c r="X39" s="475"/>
      <c r="Y39" s="475"/>
      <c r="Z39" s="475"/>
      <c r="AA39" s="475"/>
      <c r="AB39" s="475"/>
      <c r="AC39" s="475"/>
      <c r="AD39" s="475"/>
      <c r="AE39" s="475"/>
      <c r="AF39" s="475"/>
      <c r="AG39" s="475"/>
      <c r="AH39" s="475"/>
      <c r="AI39" s="477"/>
      <c r="AJ39" s="477"/>
      <c r="AK39" s="477"/>
      <c r="AL39" s="477"/>
      <c r="AM39" s="477"/>
      <c r="AN39" s="477"/>
      <c r="AO39" s="477"/>
      <c r="AP39" s="477"/>
      <c r="AQ39" s="477"/>
      <c r="AR39" s="477"/>
      <c r="AS39" s="477"/>
      <c r="AT39" s="477"/>
      <c r="AU39" s="477"/>
      <c r="AV39" s="477"/>
      <c r="AW39" s="477"/>
      <c r="AX39" s="477"/>
    </row>
    <row r="40" spans="1:50" x14ac:dyDescent="0.25">
      <c r="A40" s="206"/>
      <c r="B40" s="475"/>
      <c r="C40" s="475"/>
      <c r="D40" s="475"/>
      <c r="E40" s="475"/>
      <c r="F40" s="475"/>
      <c r="G40" s="475"/>
      <c r="H40" s="475">
        <f>+H30+H19</f>
        <v>2390781.4400000004</v>
      </c>
      <c r="I40" s="475">
        <f>+I30+I19</f>
        <v>3172868</v>
      </c>
      <c r="J40" s="475">
        <f>+J30+J19</f>
        <v>2888899.8899999997</v>
      </c>
      <c r="K40" s="475">
        <f>+K30+K19</f>
        <v>1988227.72</v>
      </c>
      <c r="L40" s="475"/>
      <c r="M40" s="475"/>
      <c r="N40" s="475"/>
      <c r="O40" s="475"/>
      <c r="P40" s="475"/>
      <c r="Q40" s="475"/>
      <c r="R40" s="475"/>
      <c r="S40" s="475"/>
      <c r="T40" s="475"/>
      <c r="U40" s="475"/>
      <c r="V40" s="475"/>
      <c r="W40" s="475"/>
      <c r="X40" s="475"/>
      <c r="Y40" s="475"/>
      <c r="Z40" s="475"/>
      <c r="AA40" s="475"/>
      <c r="AB40" s="475"/>
      <c r="AC40" s="475"/>
      <c r="AD40" s="475"/>
      <c r="AE40" s="475"/>
      <c r="AF40" s="475"/>
      <c r="AG40" s="475"/>
      <c r="AH40" s="475"/>
      <c r="AI40" s="477"/>
      <c r="AJ40" s="477"/>
      <c r="AK40" s="477"/>
      <c r="AL40" s="477"/>
      <c r="AM40" s="477"/>
      <c r="AN40" s="477"/>
      <c r="AO40" s="477"/>
      <c r="AP40" s="477"/>
      <c r="AQ40" s="477"/>
      <c r="AR40" s="477"/>
      <c r="AS40" s="477"/>
      <c r="AT40" s="477"/>
      <c r="AU40" s="477"/>
      <c r="AV40" s="477"/>
      <c r="AW40" s="477"/>
      <c r="AX40" s="477"/>
    </row>
    <row r="41" spans="1:50" x14ac:dyDescent="0.25">
      <c r="A41" s="206"/>
      <c r="B41" s="475"/>
      <c r="C41" s="475"/>
      <c r="D41" s="475"/>
      <c r="E41" s="475"/>
      <c r="F41" s="475"/>
      <c r="G41" s="475"/>
      <c r="H41" s="475"/>
      <c r="I41" s="475"/>
      <c r="J41" s="475"/>
      <c r="K41" s="475">
        <v>2037075.88</v>
      </c>
      <c r="L41" s="475"/>
      <c r="M41" s="475"/>
      <c r="N41" s="475"/>
      <c r="O41" s="475"/>
      <c r="P41" s="475"/>
      <c r="Q41" s="475"/>
      <c r="R41" s="475"/>
      <c r="S41" s="475"/>
      <c r="T41" s="475"/>
      <c r="U41" s="475"/>
      <c r="V41" s="475"/>
      <c r="W41" s="475"/>
      <c r="X41" s="475"/>
      <c r="Y41" s="475"/>
      <c r="Z41" s="475"/>
      <c r="AA41" s="475"/>
      <c r="AB41" s="475"/>
      <c r="AC41" s="475"/>
      <c r="AD41" s="475"/>
      <c r="AE41" s="475"/>
      <c r="AF41" s="475"/>
      <c r="AG41" s="475"/>
      <c r="AH41" s="475"/>
      <c r="AI41" s="477"/>
      <c r="AJ41" s="477"/>
      <c r="AK41" s="477"/>
      <c r="AL41" s="477"/>
      <c r="AM41" s="477"/>
      <c r="AN41" s="477"/>
      <c r="AO41" s="477"/>
      <c r="AP41" s="477"/>
      <c r="AQ41" s="477"/>
      <c r="AR41" s="477"/>
      <c r="AS41" s="477"/>
      <c r="AT41" s="477"/>
      <c r="AU41" s="477"/>
      <c r="AV41" s="477"/>
      <c r="AW41" s="477"/>
      <c r="AX41" s="477"/>
    </row>
    <row r="42" spans="1:50" x14ac:dyDescent="0.25">
      <c r="A42" s="206"/>
      <c r="B42" s="475"/>
      <c r="C42" s="475"/>
      <c r="D42" s="475"/>
      <c r="E42" s="475"/>
      <c r="F42" s="475"/>
      <c r="G42" s="475"/>
      <c r="H42" s="475"/>
      <c r="I42" s="475"/>
      <c r="J42" s="475"/>
      <c r="K42" s="475">
        <f>+K40-K41</f>
        <v>-48848.159999999916</v>
      </c>
      <c r="L42" s="475"/>
      <c r="M42" s="475"/>
      <c r="N42" s="475"/>
      <c r="O42" s="475"/>
      <c r="P42" s="475"/>
      <c r="Q42" s="475"/>
      <c r="R42" s="475"/>
      <c r="S42" s="475"/>
      <c r="T42" s="475"/>
      <c r="U42" s="475"/>
      <c r="V42" s="475"/>
      <c r="W42" s="475"/>
      <c r="X42" s="475"/>
      <c r="Y42" s="475"/>
      <c r="Z42" s="475"/>
      <c r="AA42" s="475"/>
      <c r="AB42" s="475"/>
      <c r="AC42" s="475"/>
      <c r="AD42" s="475"/>
      <c r="AE42" s="475"/>
      <c r="AF42" s="475"/>
      <c r="AG42" s="475"/>
      <c r="AH42" s="475"/>
      <c r="AI42" s="477"/>
      <c r="AJ42" s="477"/>
      <c r="AK42" s="477"/>
      <c r="AL42" s="477"/>
      <c r="AM42" s="477"/>
      <c r="AN42" s="477"/>
      <c r="AO42" s="477"/>
      <c r="AP42" s="477"/>
      <c r="AQ42" s="477"/>
      <c r="AR42" s="477"/>
      <c r="AS42" s="477"/>
      <c r="AT42" s="477"/>
      <c r="AU42" s="477"/>
      <c r="AV42" s="477"/>
      <c r="AW42" s="477"/>
      <c r="AX42" s="477"/>
    </row>
    <row r="43" spans="1:50" x14ac:dyDescent="0.25">
      <c r="A43" s="206"/>
      <c r="B43" s="475"/>
      <c r="C43" s="475"/>
      <c r="D43" s="475"/>
      <c r="E43" s="475"/>
      <c r="F43" s="475"/>
      <c r="G43" s="475"/>
      <c r="H43" s="475"/>
      <c r="I43" s="475"/>
      <c r="J43" s="475"/>
      <c r="K43" s="475"/>
      <c r="L43" s="475"/>
      <c r="M43" s="475"/>
      <c r="N43" s="475"/>
      <c r="O43" s="475"/>
      <c r="P43" s="475"/>
      <c r="Q43" s="475"/>
      <c r="R43" s="475"/>
      <c r="S43" s="475"/>
      <c r="T43" s="475"/>
      <c r="U43" s="475"/>
      <c r="V43" s="475"/>
      <c r="W43" s="475"/>
      <c r="X43" s="475"/>
      <c r="Y43" s="475"/>
      <c r="Z43" s="475"/>
      <c r="AA43" s="475"/>
      <c r="AB43" s="475"/>
      <c r="AC43" s="475"/>
      <c r="AD43" s="475"/>
      <c r="AE43" s="475"/>
      <c r="AF43" s="475"/>
      <c r="AG43" s="475"/>
      <c r="AH43" s="475"/>
      <c r="AI43" s="477"/>
      <c r="AJ43" s="477"/>
      <c r="AK43" s="477"/>
      <c r="AL43" s="477"/>
      <c r="AM43" s="477"/>
      <c r="AN43" s="477"/>
      <c r="AO43" s="477"/>
      <c r="AP43" s="477"/>
      <c r="AQ43" s="477"/>
      <c r="AR43" s="477"/>
      <c r="AS43" s="477"/>
      <c r="AT43" s="477"/>
      <c r="AU43" s="477"/>
      <c r="AV43" s="477"/>
      <c r="AW43" s="477"/>
      <c r="AX43" s="477"/>
    </row>
    <row r="44" spans="1:50" x14ac:dyDescent="0.25">
      <c r="A44" s="206"/>
      <c r="B44" s="475"/>
      <c r="C44" s="475"/>
      <c r="D44" s="475"/>
      <c r="E44" s="475"/>
      <c r="F44" s="475"/>
      <c r="G44" s="475"/>
      <c r="H44" s="475"/>
      <c r="I44" s="475"/>
      <c r="J44" s="475"/>
      <c r="K44" s="475"/>
      <c r="L44" s="475"/>
      <c r="M44" s="475"/>
      <c r="N44" s="475"/>
      <c r="O44" s="475"/>
      <c r="P44" s="475"/>
      <c r="Q44" s="475"/>
      <c r="R44" s="475"/>
      <c r="S44" s="475"/>
      <c r="T44" s="475"/>
      <c r="U44" s="475"/>
      <c r="V44" s="475"/>
      <c r="W44" s="475"/>
      <c r="X44" s="475"/>
      <c r="Y44" s="475"/>
      <c r="Z44" s="475"/>
      <c r="AA44" s="475"/>
      <c r="AB44" s="475"/>
      <c r="AC44" s="475"/>
      <c r="AD44" s="475"/>
      <c r="AE44" s="475"/>
      <c r="AF44" s="475"/>
      <c r="AG44" s="475"/>
      <c r="AH44" s="475"/>
      <c r="AI44" s="477"/>
      <c r="AJ44" s="477"/>
      <c r="AK44" s="477"/>
      <c r="AL44" s="477"/>
      <c r="AM44" s="477"/>
      <c r="AN44" s="477"/>
      <c r="AO44" s="477"/>
      <c r="AP44" s="477"/>
      <c r="AQ44" s="477"/>
      <c r="AR44" s="477"/>
      <c r="AS44" s="477"/>
      <c r="AT44" s="477"/>
      <c r="AU44" s="477"/>
      <c r="AV44" s="477"/>
      <c r="AW44" s="477"/>
      <c r="AX44" s="477"/>
    </row>
    <row r="45" spans="1:50" x14ac:dyDescent="0.25">
      <c r="A45" s="206"/>
      <c r="B45" s="475"/>
      <c r="C45" s="475"/>
      <c r="D45" s="475"/>
      <c r="E45" s="475"/>
      <c r="F45" s="475"/>
      <c r="G45" s="475"/>
      <c r="H45" s="475"/>
      <c r="I45" s="475"/>
      <c r="J45" s="475"/>
      <c r="K45" s="475"/>
      <c r="L45" s="475"/>
      <c r="M45" s="475"/>
      <c r="N45" s="475"/>
      <c r="O45" s="475"/>
      <c r="P45" s="475"/>
      <c r="Q45" s="475"/>
      <c r="R45" s="475"/>
      <c r="S45" s="475"/>
      <c r="T45" s="475"/>
      <c r="U45" s="475"/>
      <c r="V45" s="475"/>
      <c r="W45" s="475"/>
      <c r="X45" s="475"/>
      <c r="Y45" s="475"/>
      <c r="Z45" s="475"/>
      <c r="AA45" s="475"/>
      <c r="AB45" s="475"/>
      <c r="AC45" s="475"/>
      <c r="AD45" s="475"/>
      <c r="AE45" s="475"/>
      <c r="AF45" s="475"/>
      <c r="AG45" s="475"/>
      <c r="AH45" s="475"/>
      <c r="AI45" s="477"/>
      <c r="AJ45" s="477"/>
      <c r="AK45" s="477"/>
      <c r="AL45" s="477"/>
      <c r="AM45" s="477"/>
      <c r="AN45" s="477"/>
      <c r="AO45" s="477"/>
      <c r="AP45" s="477"/>
      <c r="AQ45" s="477"/>
      <c r="AR45" s="477"/>
      <c r="AS45" s="477"/>
      <c r="AT45" s="477"/>
      <c r="AU45" s="477"/>
      <c r="AV45" s="477"/>
      <c r="AW45" s="477"/>
      <c r="AX45" s="477"/>
    </row>
    <row r="46" spans="1:50" x14ac:dyDescent="0.25">
      <c r="A46" s="206"/>
      <c r="B46" s="475"/>
      <c r="C46" s="475"/>
      <c r="D46" s="475"/>
      <c r="E46" s="475"/>
      <c r="F46" s="475"/>
      <c r="G46" s="475"/>
      <c r="H46" s="475"/>
      <c r="I46" s="475"/>
      <c r="J46" s="475"/>
      <c r="K46" s="475"/>
      <c r="L46" s="475"/>
      <c r="M46" s="475"/>
      <c r="N46" s="475"/>
      <c r="O46" s="475"/>
      <c r="P46" s="475"/>
      <c r="Q46" s="475"/>
      <c r="R46" s="475"/>
      <c r="S46" s="475"/>
      <c r="T46" s="475"/>
      <c r="U46" s="475"/>
      <c r="V46" s="475"/>
      <c r="W46" s="475"/>
      <c r="X46" s="475"/>
      <c r="Y46" s="475"/>
      <c r="Z46" s="475"/>
      <c r="AA46" s="475"/>
      <c r="AB46" s="475"/>
      <c r="AC46" s="475"/>
      <c r="AD46" s="475"/>
      <c r="AE46" s="475"/>
      <c r="AF46" s="475"/>
      <c r="AG46" s="475"/>
      <c r="AH46" s="475"/>
      <c r="AI46" s="477"/>
      <c r="AJ46" s="477"/>
      <c r="AK46" s="477"/>
      <c r="AL46" s="477"/>
      <c r="AM46" s="477"/>
      <c r="AN46" s="477"/>
      <c r="AO46" s="477"/>
      <c r="AP46" s="477"/>
      <c r="AQ46" s="477"/>
      <c r="AR46" s="477"/>
      <c r="AS46" s="477"/>
      <c r="AT46" s="477"/>
      <c r="AU46" s="477"/>
      <c r="AV46" s="477"/>
      <c r="AW46" s="477"/>
      <c r="AX46" s="477"/>
    </row>
    <row r="47" spans="1:50" x14ac:dyDescent="0.25">
      <c r="A47" s="206" t="s">
        <v>24</v>
      </c>
      <c r="B47" s="475">
        <v>3246</v>
      </c>
      <c r="C47" s="474">
        <v>30877</v>
      </c>
      <c r="D47" s="478">
        <v>40063</v>
      </c>
      <c r="E47" s="475">
        <v>48379</v>
      </c>
      <c r="F47" s="475">
        <v>80516</v>
      </c>
      <c r="G47" s="476">
        <v>96175</v>
      </c>
      <c r="H47" s="476">
        <v>140689</v>
      </c>
      <c r="I47" s="475">
        <v>147133</v>
      </c>
      <c r="J47" s="475">
        <v>143078</v>
      </c>
      <c r="K47" s="475"/>
      <c r="L47" s="475"/>
      <c r="M47" s="475"/>
      <c r="N47" s="475"/>
      <c r="O47" s="475"/>
      <c r="P47" s="475"/>
      <c r="Q47" s="475"/>
      <c r="R47" s="475"/>
      <c r="S47" s="475"/>
      <c r="T47" s="475"/>
      <c r="U47" s="475"/>
      <c r="V47" s="475"/>
      <c r="W47" s="475"/>
      <c r="X47" s="475"/>
      <c r="Y47" s="475"/>
      <c r="Z47" s="475"/>
      <c r="AA47" s="475"/>
      <c r="AB47" s="475"/>
      <c r="AC47" s="475"/>
      <c r="AD47" s="475"/>
      <c r="AE47" s="475"/>
      <c r="AF47" s="475"/>
      <c r="AG47" s="475"/>
      <c r="AH47" s="475"/>
      <c r="AI47" s="477"/>
      <c r="AJ47" s="477"/>
      <c r="AK47" s="477"/>
      <c r="AL47" s="477"/>
      <c r="AM47" s="477"/>
      <c r="AN47" s="477"/>
      <c r="AO47" s="477"/>
      <c r="AP47" s="477"/>
      <c r="AQ47" s="477"/>
      <c r="AR47" s="477"/>
      <c r="AS47" s="477"/>
      <c r="AT47" s="477"/>
      <c r="AU47" s="477"/>
      <c r="AV47" s="477"/>
      <c r="AW47" s="477"/>
      <c r="AX47" s="477"/>
    </row>
    <row r="48" spans="1:50" x14ac:dyDescent="0.25">
      <c r="A48" s="206"/>
      <c r="B48" s="475"/>
      <c r="C48" s="475"/>
      <c r="D48" s="475"/>
      <c r="E48" s="475"/>
      <c r="F48" s="475"/>
      <c r="G48" s="475"/>
      <c r="H48" s="475"/>
      <c r="I48" s="475"/>
      <c r="J48" s="475"/>
      <c r="K48" s="475"/>
      <c r="L48" s="475"/>
      <c r="M48" s="475"/>
      <c r="N48" s="475"/>
      <c r="O48" s="475"/>
      <c r="P48" s="475"/>
      <c r="Q48" s="475"/>
      <c r="R48" s="475"/>
      <c r="S48" s="475"/>
      <c r="T48" s="475"/>
      <c r="U48" s="475"/>
      <c r="V48" s="475"/>
      <c r="W48" s="475"/>
      <c r="X48" s="475"/>
      <c r="Y48" s="475"/>
      <c r="Z48" s="475"/>
      <c r="AA48" s="475"/>
      <c r="AB48" s="475"/>
      <c r="AC48" s="475"/>
      <c r="AD48" s="475"/>
      <c r="AE48" s="475"/>
      <c r="AF48" s="475"/>
      <c r="AG48" s="475"/>
      <c r="AH48" s="475"/>
      <c r="AI48" s="477"/>
      <c r="AJ48" s="477"/>
      <c r="AK48" s="477"/>
      <c r="AL48" s="477"/>
      <c r="AM48" s="477"/>
      <c r="AN48" s="477"/>
      <c r="AO48" s="477"/>
      <c r="AP48" s="477"/>
      <c r="AQ48" s="477"/>
      <c r="AR48" s="477"/>
      <c r="AS48" s="477"/>
      <c r="AT48" s="477"/>
      <c r="AU48" s="477"/>
      <c r="AV48" s="477"/>
      <c r="AW48" s="477"/>
      <c r="AX48" s="477"/>
    </row>
    <row r="49" spans="1:50" x14ac:dyDescent="0.25">
      <c r="A49" s="206"/>
      <c r="B49" s="475"/>
      <c r="C49" s="475"/>
      <c r="D49" s="475"/>
      <c r="E49" s="475"/>
      <c r="F49" s="475"/>
      <c r="G49" s="475"/>
      <c r="H49" s="475"/>
      <c r="I49" s="475"/>
      <c r="J49" s="475"/>
      <c r="K49" s="475"/>
      <c r="L49" s="475"/>
      <c r="M49" s="475"/>
      <c r="N49" s="475"/>
      <c r="O49" s="475"/>
      <c r="P49" s="475"/>
      <c r="Q49" s="475"/>
      <c r="R49" s="475"/>
      <c r="S49" s="475"/>
      <c r="T49" s="475"/>
      <c r="U49" s="475"/>
      <c r="V49" s="475"/>
      <c r="W49" s="475"/>
      <c r="X49" s="475"/>
      <c r="Y49" s="475"/>
      <c r="Z49" s="475"/>
      <c r="AA49" s="475"/>
      <c r="AB49" s="475"/>
      <c r="AC49" s="475"/>
      <c r="AD49" s="475"/>
      <c r="AE49" s="475"/>
      <c r="AF49" s="475"/>
      <c r="AG49" s="475"/>
      <c r="AH49" s="475"/>
      <c r="AI49" s="477"/>
      <c r="AJ49" s="477"/>
      <c r="AK49" s="477"/>
      <c r="AL49" s="477"/>
      <c r="AM49" s="477"/>
      <c r="AN49" s="477"/>
      <c r="AO49" s="477"/>
      <c r="AP49" s="477"/>
      <c r="AQ49" s="477"/>
      <c r="AR49" s="477"/>
      <c r="AS49" s="477"/>
      <c r="AT49" s="477"/>
      <c r="AU49" s="477"/>
      <c r="AV49" s="477"/>
      <c r="AW49" s="477"/>
      <c r="AX49" s="477"/>
    </row>
    <row r="50" spans="1:50" x14ac:dyDescent="0.25">
      <c r="A50" s="206"/>
      <c r="B50" s="475"/>
      <c r="C50" s="475"/>
      <c r="D50" s="475"/>
      <c r="E50" s="475"/>
      <c r="F50" s="475"/>
      <c r="G50" s="475"/>
      <c r="H50" s="475"/>
      <c r="I50" s="475"/>
      <c r="J50" s="475"/>
      <c r="K50" s="475"/>
      <c r="L50" s="475"/>
      <c r="M50" s="475"/>
      <c r="N50" s="475"/>
      <c r="O50" s="475"/>
      <c r="P50" s="475"/>
      <c r="Q50" s="475"/>
      <c r="R50" s="475"/>
      <c r="S50" s="475"/>
      <c r="T50" s="475"/>
      <c r="U50" s="475"/>
      <c r="V50" s="475"/>
      <c r="W50" s="475"/>
      <c r="X50" s="475"/>
      <c r="Y50" s="475"/>
      <c r="Z50" s="475"/>
      <c r="AA50" s="475"/>
      <c r="AB50" s="475"/>
      <c r="AC50" s="475"/>
      <c r="AD50" s="475"/>
      <c r="AE50" s="475"/>
      <c r="AF50" s="475"/>
      <c r="AG50" s="475"/>
      <c r="AH50" s="475"/>
      <c r="AI50" s="477"/>
      <c r="AJ50" s="477"/>
      <c r="AK50" s="477"/>
      <c r="AL50" s="477"/>
      <c r="AM50" s="477"/>
      <c r="AN50" s="477"/>
      <c r="AO50" s="477"/>
      <c r="AP50" s="477"/>
      <c r="AQ50" s="477"/>
      <c r="AR50" s="477"/>
      <c r="AS50" s="477"/>
      <c r="AT50" s="477"/>
      <c r="AU50" s="477"/>
      <c r="AV50" s="477"/>
      <c r="AW50" s="477"/>
      <c r="AX50" s="477"/>
    </row>
    <row r="51" spans="1:50" x14ac:dyDescent="0.25">
      <c r="A51" s="206"/>
      <c r="B51" s="475"/>
      <c r="C51" s="475"/>
      <c r="D51" s="475"/>
      <c r="E51" s="475"/>
      <c r="F51" s="475"/>
      <c r="G51" s="475"/>
      <c r="H51" s="475"/>
      <c r="I51" s="475"/>
      <c r="J51" s="475"/>
      <c r="K51" s="475"/>
      <c r="L51" s="475"/>
      <c r="M51" s="475"/>
      <c r="N51" s="475"/>
      <c r="O51" s="475"/>
      <c r="P51" s="475"/>
      <c r="Q51" s="475"/>
      <c r="R51" s="475"/>
      <c r="S51" s="475"/>
      <c r="T51" s="475"/>
      <c r="U51" s="475"/>
      <c r="V51" s="475"/>
      <c r="W51" s="475"/>
      <c r="X51" s="475"/>
      <c r="Y51" s="475"/>
      <c r="Z51" s="475"/>
      <c r="AA51" s="475"/>
      <c r="AB51" s="475"/>
      <c r="AC51" s="475"/>
      <c r="AD51" s="475"/>
      <c r="AE51" s="475"/>
      <c r="AF51" s="475"/>
      <c r="AG51" s="475"/>
      <c r="AH51" s="475"/>
      <c r="AI51" s="477"/>
      <c r="AJ51" s="477"/>
      <c r="AK51" s="477"/>
      <c r="AL51" s="477"/>
      <c r="AM51" s="477"/>
      <c r="AN51" s="477"/>
      <c r="AO51" s="477"/>
      <c r="AP51" s="477"/>
      <c r="AQ51" s="477"/>
      <c r="AR51" s="477"/>
      <c r="AS51" s="477"/>
      <c r="AT51" s="477"/>
      <c r="AU51" s="477"/>
      <c r="AV51" s="477"/>
      <c r="AW51" s="477"/>
      <c r="AX51" s="477"/>
    </row>
    <row r="52" spans="1:50" x14ac:dyDescent="0.25">
      <c r="A52" s="206"/>
      <c r="B52" s="475"/>
      <c r="C52" s="475"/>
      <c r="D52" s="475"/>
      <c r="E52" s="475"/>
      <c r="F52" s="475"/>
      <c r="G52" s="475"/>
      <c r="H52" s="475"/>
      <c r="I52" s="475"/>
      <c r="J52" s="475"/>
      <c r="K52" s="475"/>
      <c r="L52" s="475"/>
      <c r="M52" s="475"/>
      <c r="N52" s="475"/>
      <c r="O52" s="475"/>
      <c r="P52" s="475"/>
      <c r="Q52" s="475"/>
      <c r="R52" s="475"/>
      <c r="S52" s="475"/>
      <c r="T52" s="475"/>
      <c r="U52" s="475"/>
      <c r="V52" s="475"/>
      <c r="W52" s="475"/>
      <c r="X52" s="475"/>
      <c r="Y52" s="475"/>
      <c r="Z52" s="475"/>
      <c r="AA52" s="475"/>
      <c r="AB52" s="475"/>
      <c r="AC52" s="475"/>
      <c r="AD52" s="475"/>
      <c r="AE52" s="475"/>
      <c r="AF52" s="475"/>
      <c r="AG52" s="475"/>
      <c r="AH52" s="475"/>
      <c r="AI52" s="477"/>
      <c r="AJ52" s="477"/>
      <c r="AK52" s="477"/>
      <c r="AL52" s="477"/>
      <c r="AM52" s="477"/>
      <c r="AN52" s="477"/>
      <c r="AO52" s="477"/>
      <c r="AP52" s="477"/>
      <c r="AQ52" s="477"/>
      <c r="AR52" s="477"/>
      <c r="AS52" s="477"/>
      <c r="AT52" s="477"/>
      <c r="AU52" s="477"/>
      <c r="AV52" s="477"/>
      <c r="AW52" s="477"/>
      <c r="AX52" s="477"/>
    </row>
    <row r="53" spans="1:50" x14ac:dyDescent="0.25">
      <c r="A53" s="206"/>
      <c r="B53" s="475"/>
      <c r="C53" s="475"/>
      <c r="D53" s="475"/>
      <c r="E53" s="475"/>
      <c r="F53" s="475"/>
      <c r="G53" s="475"/>
      <c r="H53" s="475"/>
      <c r="I53" s="475"/>
      <c r="J53" s="475"/>
      <c r="K53" s="475"/>
      <c r="L53" s="475"/>
      <c r="M53" s="475"/>
      <c r="N53" s="475"/>
      <c r="O53" s="475"/>
      <c r="P53" s="475"/>
      <c r="Q53" s="475"/>
      <c r="R53" s="475"/>
      <c r="S53" s="475"/>
      <c r="T53" s="475"/>
      <c r="U53" s="475"/>
      <c r="V53" s="475"/>
      <c r="W53" s="475"/>
      <c r="X53" s="475"/>
      <c r="Y53" s="475"/>
      <c r="Z53" s="475"/>
      <c r="AA53" s="475"/>
      <c r="AB53" s="475"/>
      <c r="AC53" s="475"/>
      <c r="AD53" s="475"/>
      <c r="AE53" s="475"/>
      <c r="AF53" s="475"/>
      <c r="AG53" s="475"/>
      <c r="AH53" s="475"/>
      <c r="AI53" s="477"/>
      <c r="AJ53" s="477"/>
      <c r="AK53" s="477"/>
      <c r="AL53" s="477"/>
      <c r="AM53" s="477"/>
      <c r="AN53" s="477"/>
      <c r="AO53" s="477"/>
      <c r="AP53" s="477"/>
      <c r="AQ53" s="477"/>
      <c r="AR53" s="477"/>
      <c r="AS53" s="477"/>
      <c r="AT53" s="477"/>
      <c r="AU53" s="477"/>
      <c r="AV53" s="477"/>
      <c r="AW53" s="477"/>
      <c r="AX53" s="477"/>
    </row>
    <row r="54" spans="1:50" x14ac:dyDescent="0.25">
      <c r="A54" s="206"/>
      <c r="B54" s="475"/>
      <c r="C54" s="475"/>
      <c r="D54" s="475"/>
      <c r="E54" s="475"/>
      <c r="F54" s="475"/>
      <c r="G54" s="475"/>
      <c r="H54" s="475"/>
      <c r="I54" s="475"/>
      <c r="J54" s="475"/>
      <c r="K54" s="475"/>
      <c r="L54" s="475"/>
      <c r="M54" s="475"/>
      <c r="N54" s="475"/>
      <c r="O54" s="475"/>
      <c r="P54" s="475"/>
      <c r="Q54" s="475"/>
      <c r="R54" s="475"/>
      <c r="S54" s="475"/>
      <c r="T54" s="475"/>
      <c r="U54" s="475"/>
      <c r="V54" s="475"/>
      <c r="W54" s="475"/>
      <c r="X54" s="475"/>
      <c r="Y54" s="475"/>
      <c r="Z54" s="475"/>
      <c r="AA54" s="475"/>
      <c r="AB54" s="475"/>
      <c r="AC54" s="475"/>
      <c r="AD54" s="475"/>
      <c r="AE54" s="475"/>
      <c r="AF54" s="475"/>
      <c r="AG54" s="475"/>
      <c r="AH54" s="475"/>
      <c r="AI54" s="477"/>
      <c r="AJ54" s="477"/>
      <c r="AK54" s="477"/>
      <c r="AL54" s="477"/>
      <c r="AM54" s="477"/>
      <c r="AN54" s="477"/>
      <c r="AO54" s="477"/>
      <c r="AP54" s="477"/>
      <c r="AQ54" s="477"/>
      <c r="AR54" s="477"/>
      <c r="AS54" s="477"/>
      <c r="AT54" s="477"/>
      <c r="AU54" s="477"/>
      <c r="AV54" s="477"/>
      <c r="AW54" s="477"/>
      <c r="AX54" s="477"/>
    </row>
    <row r="55" spans="1:50" x14ac:dyDescent="0.25">
      <c r="A55" s="206"/>
      <c r="B55" s="475"/>
      <c r="C55" s="475"/>
      <c r="D55" s="475"/>
      <c r="E55" s="475"/>
      <c r="F55" s="475"/>
      <c r="G55" s="475"/>
      <c r="H55" s="475"/>
      <c r="I55" s="475"/>
      <c r="J55" s="475"/>
      <c r="K55" s="475"/>
      <c r="L55" s="475"/>
      <c r="M55" s="475"/>
      <c r="N55" s="475"/>
      <c r="O55" s="475"/>
      <c r="P55" s="475"/>
      <c r="Q55" s="475"/>
      <c r="R55" s="475"/>
      <c r="S55" s="475"/>
      <c r="T55" s="475"/>
      <c r="U55" s="475"/>
      <c r="V55" s="475"/>
      <c r="W55" s="475"/>
      <c r="X55" s="475"/>
      <c r="Y55" s="475"/>
      <c r="Z55" s="475"/>
      <c r="AA55" s="475"/>
      <c r="AB55" s="475"/>
      <c r="AC55" s="475"/>
      <c r="AD55" s="475"/>
      <c r="AE55" s="475"/>
      <c r="AF55" s="475"/>
      <c r="AG55" s="475"/>
      <c r="AH55" s="475"/>
      <c r="AI55" s="477"/>
      <c r="AJ55" s="477"/>
      <c r="AK55" s="477"/>
      <c r="AL55" s="477"/>
      <c r="AM55" s="477"/>
      <c r="AN55" s="477"/>
      <c r="AO55" s="477"/>
      <c r="AP55" s="477"/>
      <c r="AQ55" s="477"/>
      <c r="AR55" s="477"/>
      <c r="AS55" s="477"/>
      <c r="AT55" s="477"/>
      <c r="AU55" s="477"/>
      <c r="AV55" s="477"/>
      <c r="AW55" s="477"/>
      <c r="AX55" s="477"/>
    </row>
    <row r="56" spans="1:50" x14ac:dyDescent="0.25">
      <c r="A56" s="206"/>
      <c r="B56" s="475"/>
      <c r="C56" s="475"/>
      <c r="D56" s="475"/>
      <c r="E56" s="475"/>
      <c r="F56" s="475"/>
      <c r="G56" s="475"/>
      <c r="H56" s="475"/>
      <c r="I56" s="475"/>
      <c r="J56" s="475"/>
      <c r="K56" s="475"/>
      <c r="L56" s="475"/>
      <c r="M56" s="475"/>
      <c r="N56" s="475"/>
      <c r="O56" s="475"/>
      <c r="P56" s="475"/>
      <c r="Q56" s="475"/>
      <c r="R56" s="475"/>
      <c r="S56" s="475"/>
      <c r="T56" s="475"/>
      <c r="U56" s="475"/>
      <c r="V56" s="475"/>
      <c r="W56" s="475"/>
      <c r="X56" s="475"/>
      <c r="Y56" s="475"/>
      <c r="Z56" s="475"/>
      <c r="AA56" s="475"/>
      <c r="AB56" s="475"/>
      <c r="AC56" s="475"/>
      <c r="AD56" s="475"/>
      <c r="AE56" s="475"/>
      <c r="AF56" s="475"/>
      <c r="AG56" s="475"/>
      <c r="AH56" s="475"/>
      <c r="AI56" s="477"/>
      <c r="AJ56" s="477"/>
      <c r="AK56" s="477"/>
      <c r="AL56" s="477"/>
      <c r="AM56" s="477"/>
      <c r="AN56" s="477"/>
      <c r="AO56" s="477"/>
      <c r="AP56" s="477"/>
      <c r="AQ56" s="477"/>
      <c r="AR56" s="477"/>
      <c r="AS56" s="477"/>
      <c r="AT56" s="477"/>
      <c r="AU56" s="477"/>
      <c r="AV56" s="477"/>
      <c r="AW56" s="477"/>
      <c r="AX56" s="477"/>
    </row>
    <row r="57" spans="1:50" x14ac:dyDescent="0.25">
      <c r="A57" s="206"/>
      <c r="B57" s="475"/>
      <c r="C57" s="475"/>
      <c r="D57" s="475"/>
      <c r="E57" s="475"/>
      <c r="F57" s="475"/>
      <c r="G57" s="475"/>
      <c r="H57" s="475"/>
      <c r="I57" s="475"/>
      <c r="J57" s="475"/>
      <c r="K57" s="475"/>
      <c r="L57" s="475"/>
      <c r="M57" s="475"/>
      <c r="N57" s="475"/>
      <c r="O57" s="475"/>
      <c r="P57" s="475"/>
      <c r="Q57" s="475"/>
      <c r="R57" s="475"/>
      <c r="S57" s="475"/>
      <c r="T57" s="475"/>
      <c r="U57" s="475"/>
      <c r="V57" s="475"/>
      <c r="W57" s="475"/>
      <c r="X57" s="475"/>
      <c r="Y57" s="475"/>
      <c r="Z57" s="475"/>
      <c r="AA57" s="475"/>
      <c r="AB57" s="475"/>
      <c r="AC57" s="475"/>
      <c r="AD57" s="475"/>
      <c r="AE57" s="475"/>
      <c r="AF57" s="475"/>
      <c r="AG57" s="475"/>
      <c r="AH57" s="475"/>
      <c r="AI57" s="477"/>
      <c r="AJ57" s="477"/>
      <c r="AK57" s="477"/>
      <c r="AL57" s="477"/>
      <c r="AM57" s="477"/>
      <c r="AN57" s="477"/>
      <c r="AO57" s="477"/>
      <c r="AP57" s="477"/>
      <c r="AQ57" s="477"/>
      <c r="AR57" s="477"/>
      <c r="AS57" s="477"/>
      <c r="AT57" s="477"/>
      <c r="AU57" s="477"/>
      <c r="AV57" s="477"/>
      <c r="AW57" s="477"/>
      <c r="AX57" s="477"/>
    </row>
    <row r="58" spans="1:50" x14ac:dyDescent="0.25">
      <c r="A58" s="206"/>
      <c r="B58" s="475"/>
      <c r="C58" s="475"/>
      <c r="D58" s="475"/>
      <c r="E58" s="475"/>
      <c r="F58" s="475"/>
      <c r="G58" s="475"/>
      <c r="H58" s="475"/>
      <c r="I58" s="475"/>
      <c r="J58" s="475"/>
      <c r="K58" s="475"/>
      <c r="L58" s="475"/>
      <c r="M58" s="475"/>
      <c r="N58" s="475"/>
      <c r="O58" s="475"/>
      <c r="P58" s="475"/>
      <c r="Q58" s="475"/>
      <c r="R58" s="475"/>
      <c r="S58" s="475"/>
      <c r="T58" s="475"/>
      <c r="U58" s="475"/>
      <c r="V58" s="475"/>
      <c r="W58" s="475"/>
      <c r="X58" s="475"/>
      <c r="Y58" s="475"/>
      <c r="Z58" s="475"/>
      <c r="AA58" s="475"/>
      <c r="AB58" s="475"/>
      <c r="AC58" s="475"/>
      <c r="AD58" s="475"/>
      <c r="AE58" s="475"/>
      <c r="AF58" s="475"/>
      <c r="AG58" s="475"/>
      <c r="AH58" s="475"/>
      <c r="AI58" s="477"/>
      <c r="AJ58" s="477"/>
      <c r="AK58" s="477"/>
      <c r="AL58" s="477"/>
      <c r="AM58" s="477"/>
      <c r="AN58" s="477"/>
      <c r="AO58" s="477"/>
      <c r="AP58" s="477"/>
      <c r="AQ58" s="477"/>
      <c r="AR58" s="477"/>
      <c r="AS58" s="477"/>
      <c r="AT58" s="477"/>
      <c r="AU58" s="477"/>
      <c r="AV58" s="477"/>
      <c r="AW58" s="477"/>
      <c r="AX58" s="477"/>
    </row>
    <row r="59" spans="1:50" x14ac:dyDescent="0.25">
      <c r="A59" s="206"/>
      <c r="B59" s="475"/>
      <c r="C59" s="475"/>
      <c r="D59" s="475"/>
      <c r="E59" s="475"/>
      <c r="F59" s="475"/>
      <c r="G59" s="475"/>
      <c r="H59" s="475"/>
      <c r="I59" s="475"/>
      <c r="J59" s="475"/>
      <c r="K59" s="475"/>
      <c r="L59" s="475"/>
      <c r="M59" s="475"/>
      <c r="N59" s="475"/>
      <c r="O59" s="475"/>
      <c r="P59" s="475"/>
      <c r="Q59" s="475"/>
      <c r="R59" s="475"/>
      <c r="S59" s="475"/>
      <c r="T59" s="475"/>
      <c r="U59" s="475"/>
      <c r="V59" s="475"/>
      <c r="W59" s="475"/>
      <c r="X59" s="475"/>
      <c r="Y59" s="475"/>
      <c r="Z59" s="475"/>
      <c r="AA59" s="475"/>
      <c r="AB59" s="475"/>
      <c r="AC59" s="475"/>
      <c r="AD59" s="475"/>
      <c r="AE59" s="475"/>
      <c r="AF59" s="475"/>
      <c r="AG59" s="475"/>
      <c r="AH59" s="475"/>
      <c r="AI59" s="477"/>
      <c r="AJ59" s="477"/>
      <c r="AK59" s="477"/>
      <c r="AL59" s="477"/>
      <c r="AM59" s="477"/>
      <c r="AN59" s="477"/>
      <c r="AO59" s="477"/>
      <c r="AP59" s="477"/>
      <c r="AQ59" s="477"/>
      <c r="AR59" s="477"/>
      <c r="AS59" s="477"/>
      <c r="AT59" s="477"/>
      <c r="AU59" s="477"/>
      <c r="AV59" s="477"/>
      <c r="AW59" s="477"/>
      <c r="AX59" s="477"/>
    </row>
    <row r="60" spans="1:50" x14ac:dyDescent="0.25">
      <c r="A60" s="206"/>
      <c r="B60" s="475"/>
      <c r="C60" s="475"/>
      <c r="D60" s="475"/>
      <c r="E60" s="475"/>
      <c r="F60" s="475"/>
      <c r="G60" s="475"/>
      <c r="H60" s="475"/>
      <c r="I60" s="475"/>
      <c r="J60" s="475"/>
      <c r="K60" s="475"/>
      <c r="L60" s="475"/>
      <c r="M60" s="475"/>
      <c r="N60" s="475"/>
      <c r="O60" s="475"/>
      <c r="P60" s="475"/>
      <c r="Q60" s="475"/>
      <c r="R60" s="475"/>
      <c r="S60" s="475"/>
      <c r="T60" s="475"/>
      <c r="U60" s="475"/>
      <c r="V60" s="475"/>
      <c r="W60" s="475"/>
      <c r="X60" s="475"/>
      <c r="Y60" s="475"/>
      <c r="Z60" s="475"/>
      <c r="AA60" s="475"/>
      <c r="AB60" s="475"/>
      <c r="AC60" s="475"/>
      <c r="AD60" s="475"/>
      <c r="AE60" s="475"/>
      <c r="AF60" s="475"/>
      <c r="AG60" s="475"/>
      <c r="AH60" s="475"/>
      <c r="AI60" s="477"/>
      <c r="AJ60" s="477"/>
      <c r="AK60" s="477"/>
      <c r="AL60" s="477"/>
      <c r="AM60" s="477"/>
      <c r="AN60" s="477"/>
      <c r="AO60" s="477"/>
      <c r="AP60" s="477"/>
      <c r="AQ60" s="477"/>
      <c r="AR60" s="477"/>
      <c r="AS60" s="477"/>
      <c r="AT60" s="477"/>
      <c r="AU60" s="477"/>
      <c r="AV60" s="477"/>
      <c r="AW60" s="477"/>
      <c r="AX60" s="477"/>
    </row>
    <row r="61" spans="1:50" x14ac:dyDescent="0.25">
      <c r="A61" s="206"/>
      <c r="B61" s="475"/>
      <c r="C61" s="475"/>
      <c r="D61" s="475"/>
      <c r="E61" s="475"/>
      <c r="F61" s="475"/>
      <c r="G61" s="475"/>
      <c r="H61" s="475"/>
      <c r="I61" s="475"/>
      <c r="J61" s="475"/>
      <c r="K61" s="475"/>
      <c r="L61" s="475"/>
      <c r="M61" s="475"/>
      <c r="N61" s="475"/>
      <c r="O61" s="475"/>
      <c r="P61" s="475"/>
      <c r="Q61" s="475"/>
      <c r="R61" s="475"/>
      <c r="S61" s="475"/>
      <c r="T61" s="475"/>
      <c r="U61" s="475"/>
      <c r="V61" s="475"/>
      <c r="W61" s="475"/>
      <c r="X61" s="475"/>
      <c r="Y61" s="475"/>
      <c r="Z61" s="475"/>
      <c r="AA61" s="475"/>
      <c r="AB61" s="475"/>
      <c r="AC61" s="475"/>
      <c r="AD61" s="475"/>
      <c r="AE61" s="475"/>
      <c r="AF61" s="475"/>
      <c r="AG61" s="475"/>
      <c r="AH61" s="475"/>
      <c r="AI61" s="477"/>
      <c r="AJ61" s="477"/>
      <c r="AK61" s="477"/>
      <c r="AL61" s="477"/>
      <c r="AM61" s="477"/>
      <c r="AN61" s="477"/>
      <c r="AO61" s="477"/>
      <c r="AP61" s="477"/>
      <c r="AQ61" s="477"/>
      <c r="AR61" s="477"/>
      <c r="AS61" s="477"/>
      <c r="AT61" s="477"/>
      <c r="AU61" s="477"/>
      <c r="AV61" s="477"/>
      <c r="AW61" s="477"/>
      <c r="AX61" s="477"/>
    </row>
    <row r="62" spans="1:50" x14ac:dyDescent="0.25">
      <c r="A62" s="206"/>
      <c r="B62" s="475"/>
      <c r="C62" s="475"/>
      <c r="D62" s="475"/>
      <c r="E62" s="475"/>
      <c r="F62" s="475"/>
      <c r="G62" s="475"/>
      <c r="H62" s="475"/>
      <c r="I62" s="475"/>
      <c r="J62" s="475"/>
      <c r="K62" s="475"/>
      <c r="L62" s="475"/>
      <c r="M62" s="475"/>
      <c r="N62" s="475"/>
      <c r="O62" s="475"/>
      <c r="P62" s="475"/>
      <c r="Q62" s="475"/>
      <c r="R62" s="475"/>
      <c r="S62" s="475"/>
      <c r="T62" s="475"/>
      <c r="U62" s="475"/>
      <c r="V62" s="475"/>
      <c r="W62" s="475"/>
      <c r="X62" s="475"/>
      <c r="Y62" s="475"/>
      <c r="Z62" s="475"/>
      <c r="AA62" s="475"/>
      <c r="AB62" s="475"/>
      <c r="AC62" s="475"/>
      <c r="AD62" s="475"/>
      <c r="AE62" s="475"/>
      <c r="AF62" s="475"/>
      <c r="AG62" s="475"/>
      <c r="AH62" s="475"/>
      <c r="AI62" s="477"/>
      <c r="AJ62" s="477"/>
      <c r="AK62" s="477"/>
      <c r="AL62" s="477"/>
      <c r="AM62" s="477"/>
      <c r="AN62" s="477"/>
      <c r="AO62" s="477"/>
      <c r="AP62" s="477"/>
      <c r="AQ62" s="477"/>
      <c r="AR62" s="477"/>
      <c r="AS62" s="477"/>
      <c r="AT62" s="477"/>
      <c r="AU62" s="477"/>
      <c r="AV62" s="477"/>
      <c r="AW62" s="477"/>
      <c r="AX62" s="477"/>
    </row>
    <row r="63" spans="1:50" x14ac:dyDescent="0.25">
      <c r="A63" s="206"/>
      <c r="B63" s="475"/>
      <c r="C63" s="475"/>
      <c r="D63" s="475"/>
      <c r="E63" s="475"/>
      <c r="F63" s="475"/>
      <c r="G63" s="475"/>
      <c r="H63" s="475"/>
      <c r="I63" s="475"/>
      <c r="J63" s="475"/>
      <c r="K63" s="475"/>
      <c r="L63" s="475"/>
      <c r="M63" s="475"/>
      <c r="N63" s="475"/>
      <c r="O63" s="475"/>
      <c r="P63" s="475"/>
      <c r="Q63" s="475"/>
      <c r="R63" s="475"/>
      <c r="S63" s="475"/>
      <c r="T63" s="475"/>
      <c r="U63" s="475"/>
      <c r="V63" s="475"/>
      <c r="W63" s="475"/>
      <c r="X63" s="475"/>
      <c r="Y63" s="475"/>
      <c r="Z63" s="475"/>
      <c r="AA63" s="475"/>
      <c r="AB63" s="475"/>
      <c r="AC63" s="475"/>
      <c r="AD63" s="475"/>
      <c r="AE63" s="475"/>
      <c r="AF63" s="475"/>
      <c r="AG63" s="475"/>
      <c r="AH63" s="475"/>
      <c r="AI63" s="477"/>
      <c r="AJ63" s="477"/>
      <c r="AK63" s="477"/>
      <c r="AL63" s="477"/>
      <c r="AM63" s="477"/>
      <c r="AN63" s="477"/>
      <c r="AO63" s="477"/>
      <c r="AP63" s="477"/>
      <c r="AQ63" s="477"/>
      <c r="AR63" s="477"/>
      <c r="AS63" s="477"/>
      <c r="AT63" s="477"/>
      <c r="AU63" s="477"/>
      <c r="AV63" s="477"/>
      <c r="AW63" s="477"/>
      <c r="AX63" s="477"/>
    </row>
    <row r="64" spans="1:50" x14ac:dyDescent="0.25">
      <c r="A64" s="206"/>
      <c r="B64" s="475"/>
      <c r="C64" s="475"/>
      <c r="D64" s="475"/>
      <c r="E64" s="475"/>
      <c r="F64" s="475"/>
      <c r="G64" s="475"/>
      <c r="H64" s="475"/>
      <c r="I64" s="475"/>
      <c r="J64" s="475"/>
      <c r="K64" s="475"/>
      <c r="L64" s="475"/>
      <c r="M64" s="475"/>
      <c r="N64" s="475"/>
      <c r="O64" s="475"/>
      <c r="P64" s="475"/>
      <c r="Q64" s="475"/>
      <c r="R64" s="475"/>
      <c r="S64" s="475"/>
      <c r="T64" s="475"/>
      <c r="U64" s="475"/>
      <c r="V64" s="475"/>
      <c r="W64" s="475"/>
      <c r="X64" s="475"/>
      <c r="Y64" s="475"/>
      <c r="Z64" s="475"/>
      <c r="AA64" s="475"/>
      <c r="AB64" s="475"/>
      <c r="AC64" s="475"/>
      <c r="AD64" s="475"/>
      <c r="AE64" s="475"/>
      <c r="AF64" s="475"/>
      <c r="AG64" s="475"/>
      <c r="AH64" s="475"/>
      <c r="AI64" s="477"/>
      <c r="AJ64" s="477"/>
      <c r="AK64" s="477"/>
      <c r="AL64" s="477"/>
      <c r="AM64" s="477"/>
      <c r="AN64" s="477"/>
      <c r="AO64" s="477"/>
      <c r="AP64" s="477"/>
      <c r="AQ64" s="477"/>
      <c r="AR64" s="477"/>
      <c r="AS64" s="477"/>
      <c r="AT64" s="477"/>
      <c r="AU64" s="477"/>
      <c r="AV64" s="477"/>
      <c r="AW64" s="477"/>
      <c r="AX64" s="477"/>
    </row>
    <row r="65" spans="1:50" x14ac:dyDescent="0.25">
      <c r="A65" s="206"/>
      <c r="B65" s="475"/>
      <c r="C65" s="475"/>
      <c r="D65" s="475"/>
      <c r="E65" s="475"/>
      <c r="F65" s="475"/>
      <c r="G65" s="475"/>
      <c r="H65" s="475"/>
      <c r="I65" s="475"/>
      <c r="J65" s="475"/>
      <c r="K65" s="475"/>
      <c r="L65" s="475"/>
      <c r="M65" s="475"/>
      <c r="N65" s="475"/>
      <c r="O65" s="475"/>
      <c r="P65" s="475"/>
      <c r="Q65" s="475"/>
      <c r="R65" s="475"/>
      <c r="S65" s="475"/>
      <c r="T65" s="475"/>
      <c r="U65" s="475"/>
      <c r="V65" s="475"/>
      <c r="W65" s="475"/>
      <c r="X65" s="475"/>
      <c r="Y65" s="475"/>
      <c r="Z65" s="475"/>
      <c r="AA65" s="475"/>
      <c r="AB65" s="475"/>
      <c r="AC65" s="475"/>
      <c r="AD65" s="475"/>
      <c r="AE65" s="475"/>
      <c r="AF65" s="475"/>
      <c r="AG65" s="475"/>
      <c r="AH65" s="475"/>
      <c r="AI65" s="477"/>
      <c r="AJ65" s="477"/>
      <c r="AK65" s="477"/>
      <c r="AL65" s="477"/>
      <c r="AM65" s="477"/>
      <c r="AN65" s="477"/>
      <c r="AO65" s="477"/>
      <c r="AP65" s="477"/>
      <c r="AQ65" s="477"/>
      <c r="AR65" s="477"/>
      <c r="AS65" s="477"/>
      <c r="AT65" s="477"/>
      <c r="AU65" s="477"/>
      <c r="AV65" s="477"/>
      <c r="AW65" s="477"/>
      <c r="AX65" s="477"/>
    </row>
    <row r="66" spans="1:50" x14ac:dyDescent="0.25">
      <c r="A66" s="206"/>
      <c r="B66" s="475"/>
      <c r="C66" s="475"/>
      <c r="D66" s="475"/>
      <c r="E66" s="475"/>
      <c r="F66" s="475"/>
      <c r="G66" s="475"/>
      <c r="H66" s="475"/>
      <c r="I66" s="475"/>
      <c r="J66" s="475"/>
      <c r="K66" s="475"/>
      <c r="L66" s="475"/>
      <c r="M66" s="475"/>
      <c r="N66" s="475"/>
      <c r="O66" s="475"/>
      <c r="P66" s="475"/>
      <c r="Q66" s="475"/>
      <c r="R66" s="475"/>
      <c r="S66" s="475"/>
      <c r="T66" s="475"/>
      <c r="U66" s="475"/>
      <c r="V66" s="475"/>
      <c r="W66" s="475"/>
      <c r="X66" s="475"/>
      <c r="Y66" s="475"/>
      <c r="Z66" s="475"/>
      <c r="AA66" s="475"/>
      <c r="AB66" s="475"/>
      <c r="AC66" s="475"/>
      <c r="AD66" s="475"/>
      <c r="AE66" s="475"/>
      <c r="AF66" s="475"/>
      <c r="AG66" s="475"/>
      <c r="AH66" s="475"/>
      <c r="AI66" s="477"/>
      <c r="AJ66" s="477"/>
      <c r="AK66" s="477"/>
      <c r="AL66" s="477"/>
      <c r="AM66" s="477"/>
      <c r="AN66" s="477"/>
      <c r="AO66" s="477"/>
      <c r="AP66" s="477"/>
      <c r="AQ66" s="477"/>
      <c r="AR66" s="477"/>
      <c r="AS66" s="477"/>
      <c r="AT66" s="477"/>
      <c r="AU66" s="477"/>
      <c r="AV66" s="477"/>
      <c r="AW66" s="477"/>
      <c r="AX66" s="477"/>
    </row>
    <row r="67" spans="1:50" x14ac:dyDescent="0.25">
      <c r="A67" s="206"/>
      <c r="B67" s="475"/>
      <c r="C67" s="475"/>
      <c r="D67" s="475"/>
      <c r="E67" s="475"/>
      <c r="F67" s="475"/>
      <c r="G67" s="475"/>
      <c r="H67" s="475"/>
      <c r="I67" s="475"/>
      <c r="J67" s="475"/>
      <c r="K67" s="475"/>
      <c r="L67" s="475"/>
      <c r="M67" s="475"/>
      <c r="N67" s="475"/>
      <c r="O67" s="475"/>
      <c r="P67" s="475"/>
      <c r="Q67" s="475"/>
      <c r="R67" s="475"/>
      <c r="S67" s="475"/>
      <c r="T67" s="475"/>
      <c r="U67" s="475"/>
      <c r="V67" s="475"/>
      <c r="W67" s="475"/>
      <c r="X67" s="475"/>
      <c r="Y67" s="475"/>
      <c r="Z67" s="475"/>
      <c r="AA67" s="475"/>
      <c r="AB67" s="475"/>
      <c r="AC67" s="475"/>
      <c r="AD67" s="475"/>
      <c r="AE67" s="475"/>
      <c r="AF67" s="475"/>
      <c r="AG67" s="475"/>
      <c r="AH67" s="475"/>
      <c r="AI67" s="477"/>
      <c r="AJ67" s="477"/>
      <c r="AK67" s="477"/>
      <c r="AL67" s="477"/>
      <c r="AM67" s="477"/>
      <c r="AN67" s="477"/>
      <c r="AO67" s="477"/>
      <c r="AP67" s="477"/>
      <c r="AQ67" s="477"/>
      <c r="AR67" s="477"/>
      <c r="AS67" s="477"/>
      <c r="AT67" s="477"/>
      <c r="AU67" s="477"/>
      <c r="AV67" s="477"/>
      <c r="AW67" s="477"/>
      <c r="AX67" s="477"/>
    </row>
    <row r="68" spans="1:50" x14ac:dyDescent="0.25">
      <c r="A68" s="206"/>
      <c r="B68" s="475"/>
      <c r="C68" s="475"/>
      <c r="D68" s="475"/>
      <c r="E68" s="475"/>
      <c r="F68" s="475"/>
      <c r="G68" s="475"/>
      <c r="H68" s="475"/>
      <c r="I68" s="475"/>
      <c r="J68" s="475"/>
      <c r="K68" s="475"/>
      <c r="L68" s="475"/>
      <c r="M68" s="475"/>
      <c r="N68" s="475"/>
      <c r="O68" s="475"/>
      <c r="P68" s="475"/>
      <c r="Q68" s="475"/>
      <c r="R68" s="475"/>
      <c r="S68" s="475"/>
      <c r="T68" s="475"/>
      <c r="U68" s="475"/>
      <c r="V68" s="475"/>
      <c r="W68" s="475"/>
      <c r="X68" s="475"/>
      <c r="Y68" s="475"/>
      <c r="Z68" s="475"/>
      <c r="AA68" s="475"/>
      <c r="AB68" s="475"/>
      <c r="AC68" s="475"/>
      <c r="AD68" s="475"/>
      <c r="AE68" s="475"/>
      <c r="AF68" s="475"/>
      <c r="AG68" s="475"/>
      <c r="AH68" s="475"/>
    </row>
    <row r="69" spans="1:50" x14ac:dyDescent="0.25">
      <c r="A69" s="206"/>
      <c r="B69" s="475"/>
      <c r="C69" s="475"/>
      <c r="D69" s="475"/>
      <c r="E69" s="475"/>
      <c r="F69" s="475"/>
      <c r="G69" s="475"/>
      <c r="H69" s="475"/>
      <c r="I69" s="475"/>
      <c r="J69" s="475"/>
      <c r="K69" s="475"/>
      <c r="L69" s="475"/>
      <c r="M69" s="475"/>
      <c r="N69" s="475"/>
      <c r="O69" s="475"/>
      <c r="P69" s="475"/>
      <c r="Q69" s="475"/>
      <c r="R69" s="475"/>
      <c r="S69" s="475"/>
      <c r="T69" s="475"/>
      <c r="U69" s="475"/>
      <c r="V69" s="475"/>
      <c r="W69" s="475"/>
      <c r="X69" s="475"/>
      <c r="Y69" s="475"/>
      <c r="Z69" s="475"/>
      <c r="AA69" s="475"/>
      <c r="AB69" s="475"/>
      <c r="AC69" s="475"/>
      <c r="AD69" s="475"/>
      <c r="AE69" s="475"/>
      <c r="AF69" s="475"/>
      <c r="AG69" s="475"/>
      <c r="AH69" s="475"/>
    </row>
    <row r="70" spans="1:50" x14ac:dyDescent="0.25">
      <c r="A70" s="206"/>
      <c r="B70" s="475"/>
      <c r="C70" s="475"/>
      <c r="D70" s="475"/>
      <c r="E70" s="475"/>
      <c r="F70" s="475"/>
      <c r="G70" s="475"/>
      <c r="H70" s="475"/>
      <c r="I70" s="475"/>
      <c r="J70" s="475"/>
      <c r="K70" s="475"/>
      <c r="L70" s="475"/>
      <c r="M70" s="475"/>
      <c r="N70" s="475"/>
      <c r="O70" s="475"/>
      <c r="P70" s="475"/>
      <c r="Q70" s="475"/>
      <c r="R70" s="475"/>
      <c r="S70" s="475"/>
      <c r="T70" s="475"/>
      <c r="U70" s="475"/>
      <c r="V70" s="475"/>
      <c r="W70" s="475"/>
      <c r="X70" s="475"/>
      <c r="Y70" s="475"/>
      <c r="Z70" s="475"/>
      <c r="AA70" s="475"/>
      <c r="AB70" s="475"/>
      <c r="AC70" s="475"/>
      <c r="AD70" s="475"/>
      <c r="AE70" s="475"/>
      <c r="AF70" s="475"/>
      <c r="AG70" s="475"/>
      <c r="AH70" s="475"/>
    </row>
    <row r="71" spans="1:50" x14ac:dyDescent="0.25">
      <c r="A71" s="206"/>
      <c r="B71" s="475"/>
      <c r="C71" s="475"/>
      <c r="D71" s="475"/>
      <c r="E71" s="475"/>
      <c r="F71" s="475"/>
      <c r="G71" s="475"/>
      <c r="H71" s="475"/>
      <c r="I71" s="475"/>
      <c r="J71" s="475"/>
      <c r="K71" s="475"/>
      <c r="L71" s="475"/>
      <c r="M71" s="475"/>
      <c r="N71" s="475"/>
      <c r="O71" s="475"/>
      <c r="P71" s="475"/>
      <c r="Q71" s="475"/>
      <c r="R71" s="475"/>
      <c r="S71" s="475"/>
      <c r="T71" s="475"/>
      <c r="U71" s="475"/>
      <c r="V71" s="475"/>
      <c r="W71" s="475"/>
      <c r="X71" s="475"/>
      <c r="Y71" s="475"/>
      <c r="Z71" s="475"/>
      <c r="AA71" s="475"/>
      <c r="AB71" s="475"/>
      <c r="AC71" s="475"/>
      <c r="AD71" s="475"/>
      <c r="AE71" s="475"/>
      <c r="AF71" s="475"/>
      <c r="AG71" s="475"/>
      <c r="AH71" s="475"/>
    </row>
    <row r="72" spans="1:50" x14ac:dyDescent="0.25">
      <c r="A72" s="471"/>
      <c r="B72" s="475"/>
      <c r="C72" s="475"/>
      <c r="D72" s="475"/>
      <c r="E72" s="475"/>
      <c r="F72" s="475"/>
      <c r="G72" s="475"/>
      <c r="H72" s="475"/>
      <c r="I72" s="475"/>
      <c r="J72" s="475"/>
      <c r="K72" s="475"/>
      <c r="L72" s="475"/>
      <c r="M72" s="475"/>
      <c r="N72" s="475"/>
      <c r="O72" s="475"/>
      <c r="P72" s="475"/>
      <c r="Q72" s="475"/>
      <c r="R72" s="475"/>
      <c r="S72" s="475"/>
      <c r="T72" s="475"/>
      <c r="U72" s="475"/>
      <c r="V72" s="475"/>
      <c r="W72" s="475"/>
      <c r="X72" s="475"/>
      <c r="Y72" s="475"/>
      <c r="Z72" s="475"/>
      <c r="AA72" s="475"/>
      <c r="AB72" s="475"/>
      <c r="AC72" s="475"/>
      <c r="AD72" s="475"/>
      <c r="AE72" s="475"/>
      <c r="AF72" s="475"/>
      <c r="AG72" s="475"/>
      <c r="AH72" s="475"/>
    </row>
    <row r="73" spans="1:50" x14ac:dyDescent="0.25">
      <c r="A73" s="471"/>
      <c r="B73" s="475"/>
      <c r="C73" s="475"/>
      <c r="D73" s="475"/>
      <c r="E73" s="475"/>
      <c r="F73" s="475"/>
      <c r="G73" s="475"/>
      <c r="H73" s="475"/>
      <c r="I73" s="475"/>
      <c r="J73" s="475"/>
      <c r="K73" s="475"/>
      <c r="L73" s="475"/>
      <c r="M73" s="475"/>
      <c r="N73" s="475"/>
      <c r="O73" s="475"/>
      <c r="P73" s="475"/>
      <c r="Q73" s="475"/>
      <c r="R73" s="475"/>
      <c r="S73" s="475"/>
      <c r="T73" s="475"/>
      <c r="U73" s="475"/>
      <c r="V73" s="475"/>
      <c r="W73" s="475"/>
      <c r="X73" s="475"/>
      <c r="Y73" s="475"/>
      <c r="Z73" s="475"/>
      <c r="AA73" s="475"/>
      <c r="AB73" s="475"/>
      <c r="AC73" s="475"/>
      <c r="AD73" s="475"/>
      <c r="AE73" s="475"/>
      <c r="AF73" s="475"/>
      <c r="AG73" s="475"/>
      <c r="AH73" s="475"/>
    </row>
    <row r="74" spans="1:50" x14ac:dyDescent="0.25">
      <c r="A74" s="471"/>
      <c r="B74" s="475"/>
      <c r="C74" s="475"/>
      <c r="D74" s="475"/>
      <c r="E74" s="475"/>
      <c r="F74" s="475"/>
      <c r="G74" s="475"/>
      <c r="H74" s="475"/>
      <c r="I74" s="475"/>
      <c r="J74" s="475"/>
      <c r="K74" s="475"/>
      <c r="L74" s="475"/>
      <c r="M74" s="475"/>
      <c r="N74" s="475"/>
      <c r="O74" s="475"/>
      <c r="P74" s="475"/>
      <c r="Q74" s="475"/>
      <c r="R74" s="475"/>
      <c r="S74" s="475"/>
      <c r="T74" s="475"/>
      <c r="U74" s="475"/>
      <c r="V74" s="475"/>
      <c r="W74" s="475"/>
      <c r="X74" s="475"/>
      <c r="Y74" s="475"/>
      <c r="Z74" s="475"/>
      <c r="AA74" s="475"/>
      <c r="AB74" s="475"/>
      <c r="AC74" s="475"/>
      <c r="AD74" s="475"/>
      <c r="AE74" s="475"/>
      <c r="AF74" s="475"/>
      <c r="AG74" s="475"/>
      <c r="AH74" s="475"/>
    </row>
    <row r="75" spans="1:50" x14ac:dyDescent="0.25">
      <c r="A75" s="471"/>
      <c r="B75" s="475"/>
      <c r="C75" s="475"/>
      <c r="D75" s="475"/>
      <c r="E75" s="475"/>
      <c r="F75" s="475"/>
      <c r="G75" s="475"/>
      <c r="H75" s="475"/>
      <c r="I75" s="475"/>
      <c r="J75" s="475"/>
      <c r="K75" s="475"/>
      <c r="L75" s="475"/>
      <c r="M75" s="475"/>
      <c r="N75" s="475"/>
      <c r="O75" s="475"/>
      <c r="P75" s="475"/>
      <c r="Q75" s="475"/>
      <c r="R75" s="475"/>
      <c r="S75" s="475"/>
      <c r="T75" s="475"/>
      <c r="U75" s="475"/>
      <c r="V75" s="475"/>
      <c r="W75" s="475"/>
      <c r="X75" s="475"/>
      <c r="Y75" s="475"/>
      <c r="Z75" s="475"/>
      <c r="AA75" s="475"/>
      <c r="AB75" s="475"/>
      <c r="AC75" s="475"/>
      <c r="AD75" s="475"/>
      <c r="AE75" s="475"/>
      <c r="AF75" s="475"/>
      <c r="AG75" s="475"/>
      <c r="AH75" s="475"/>
    </row>
    <row r="76" spans="1:50" x14ac:dyDescent="0.25">
      <c r="A76" s="471"/>
      <c r="B76" s="475"/>
      <c r="C76" s="475"/>
      <c r="D76" s="475"/>
      <c r="E76" s="475"/>
      <c r="F76" s="475"/>
      <c r="G76" s="475"/>
      <c r="H76" s="475"/>
      <c r="I76" s="475"/>
      <c r="J76" s="475"/>
      <c r="K76" s="475"/>
      <c r="L76" s="475"/>
      <c r="M76" s="475"/>
      <c r="N76" s="475"/>
      <c r="O76" s="475"/>
      <c r="P76" s="475"/>
      <c r="Q76" s="475"/>
      <c r="R76" s="475"/>
      <c r="S76" s="475"/>
      <c r="T76" s="475"/>
      <c r="U76" s="475"/>
      <c r="V76" s="475"/>
      <c r="W76" s="475"/>
      <c r="X76" s="475"/>
      <c r="Y76" s="475"/>
      <c r="Z76" s="475"/>
      <c r="AA76" s="475"/>
      <c r="AB76" s="475"/>
      <c r="AC76" s="475"/>
      <c r="AD76" s="475"/>
      <c r="AE76" s="475"/>
      <c r="AF76" s="475"/>
      <c r="AG76" s="475"/>
      <c r="AH76" s="475"/>
    </row>
    <row r="77" spans="1:50" x14ac:dyDescent="0.25">
      <c r="A77" s="471"/>
      <c r="B77" s="475"/>
      <c r="C77" s="475"/>
      <c r="D77" s="475"/>
      <c r="E77" s="475"/>
      <c r="F77" s="475"/>
      <c r="G77" s="475"/>
      <c r="H77" s="475"/>
      <c r="I77" s="475"/>
      <c r="J77" s="475"/>
      <c r="K77" s="475"/>
      <c r="L77" s="475"/>
      <c r="M77" s="475"/>
      <c r="N77" s="475"/>
      <c r="O77" s="475"/>
      <c r="P77" s="475"/>
      <c r="Q77" s="475"/>
      <c r="R77" s="475"/>
      <c r="S77" s="475"/>
      <c r="T77" s="475"/>
      <c r="U77" s="475"/>
      <c r="V77" s="475"/>
      <c r="W77" s="475"/>
      <c r="X77" s="475"/>
      <c r="Y77" s="475"/>
      <c r="Z77" s="475"/>
      <c r="AA77" s="475"/>
      <c r="AB77" s="475"/>
      <c r="AC77" s="475"/>
      <c r="AD77" s="475"/>
      <c r="AE77" s="475"/>
      <c r="AF77" s="475"/>
      <c r="AG77" s="475"/>
      <c r="AH77" s="475"/>
    </row>
    <row r="78" spans="1:50" x14ac:dyDescent="0.25">
      <c r="A78" s="471"/>
      <c r="B78" s="475"/>
      <c r="C78" s="475"/>
      <c r="D78" s="475"/>
      <c r="E78" s="475"/>
      <c r="F78" s="475"/>
      <c r="G78" s="475"/>
      <c r="H78" s="475"/>
      <c r="I78" s="475"/>
      <c r="J78" s="475"/>
      <c r="K78" s="475"/>
      <c r="L78" s="475"/>
      <c r="M78" s="475"/>
      <c r="N78" s="475"/>
      <c r="O78" s="475"/>
      <c r="P78" s="475"/>
      <c r="Q78" s="475"/>
      <c r="R78" s="475"/>
      <c r="S78" s="475"/>
      <c r="T78" s="475"/>
      <c r="U78" s="475"/>
      <c r="V78" s="475"/>
      <c r="W78" s="475"/>
      <c r="X78" s="475"/>
      <c r="Y78" s="475"/>
      <c r="Z78" s="475"/>
      <c r="AA78" s="475"/>
      <c r="AB78" s="475"/>
      <c r="AC78" s="475"/>
      <c r="AD78" s="475"/>
      <c r="AE78" s="475"/>
      <c r="AF78" s="475"/>
      <c r="AG78" s="475"/>
      <c r="AH78" s="475"/>
    </row>
    <row r="79" spans="1:50" x14ac:dyDescent="0.25">
      <c r="A79" s="471"/>
      <c r="B79" s="475"/>
      <c r="C79" s="475"/>
      <c r="D79" s="475"/>
      <c r="E79" s="475"/>
      <c r="F79" s="475"/>
      <c r="G79" s="475"/>
      <c r="H79" s="475"/>
      <c r="I79" s="475"/>
      <c r="J79" s="475"/>
      <c r="K79" s="475"/>
      <c r="L79" s="475"/>
      <c r="M79" s="475"/>
      <c r="N79" s="475"/>
      <c r="O79" s="475"/>
      <c r="P79" s="475"/>
      <c r="Q79" s="475"/>
      <c r="R79" s="475"/>
      <c r="S79" s="475"/>
      <c r="T79" s="475"/>
      <c r="U79" s="475"/>
      <c r="V79" s="475"/>
      <c r="W79" s="475"/>
      <c r="X79" s="475"/>
      <c r="Y79" s="475"/>
      <c r="Z79" s="475"/>
      <c r="AA79" s="475"/>
      <c r="AB79" s="475"/>
      <c r="AC79" s="475"/>
      <c r="AD79" s="475"/>
      <c r="AE79" s="475"/>
      <c r="AF79" s="475"/>
      <c r="AG79" s="475"/>
      <c r="AH79" s="475"/>
    </row>
    <row r="80" spans="1:50" x14ac:dyDescent="0.25">
      <c r="A80" s="471"/>
      <c r="B80" s="475"/>
      <c r="C80" s="475"/>
      <c r="D80" s="475"/>
      <c r="E80" s="475"/>
      <c r="F80" s="475"/>
      <c r="G80" s="475"/>
      <c r="H80" s="475"/>
      <c r="I80" s="475"/>
      <c r="J80" s="475"/>
      <c r="K80" s="475"/>
      <c r="L80" s="475"/>
      <c r="M80" s="475"/>
      <c r="N80" s="475"/>
      <c r="O80" s="475"/>
      <c r="P80" s="475"/>
      <c r="Q80" s="475"/>
      <c r="R80" s="475"/>
      <c r="S80" s="475"/>
      <c r="T80" s="475"/>
      <c r="U80" s="475"/>
      <c r="V80" s="475"/>
      <c r="W80" s="475"/>
      <c r="X80" s="475"/>
      <c r="Y80" s="475"/>
      <c r="Z80" s="475"/>
      <c r="AA80" s="475"/>
      <c r="AB80" s="475"/>
      <c r="AC80" s="475"/>
      <c r="AD80" s="475"/>
      <c r="AE80" s="475"/>
      <c r="AF80" s="475"/>
      <c r="AG80" s="475"/>
      <c r="AH80" s="475"/>
    </row>
    <row r="81" spans="1:34" x14ac:dyDescent="0.25">
      <c r="A81" s="471"/>
      <c r="B81" s="475"/>
      <c r="C81" s="475"/>
      <c r="D81" s="475"/>
      <c r="E81" s="475"/>
      <c r="F81" s="475"/>
      <c r="G81" s="475"/>
      <c r="H81" s="475"/>
      <c r="I81" s="475"/>
      <c r="J81" s="475"/>
      <c r="K81" s="475"/>
      <c r="L81" s="475"/>
      <c r="M81" s="475"/>
      <c r="N81" s="475"/>
      <c r="O81" s="475"/>
      <c r="P81" s="475"/>
      <c r="Q81" s="475"/>
      <c r="R81" s="475"/>
      <c r="S81" s="475"/>
      <c r="T81" s="475"/>
      <c r="U81" s="475"/>
      <c r="V81" s="475"/>
      <c r="W81" s="475"/>
      <c r="X81" s="475"/>
      <c r="Y81" s="475"/>
      <c r="Z81" s="475"/>
      <c r="AA81" s="475"/>
      <c r="AB81" s="475"/>
      <c r="AC81" s="475"/>
      <c r="AD81" s="475"/>
      <c r="AE81" s="475"/>
      <c r="AF81" s="475"/>
      <c r="AG81" s="475"/>
      <c r="AH81" s="475"/>
    </row>
    <row r="82" spans="1:34" x14ac:dyDescent="0.25">
      <c r="A82" s="471"/>
      <c r="B82" s="475"/>
      <c r="C82" s="475"/>
      <c r="D82" s="475"/>
      <c r="E82" s="475"/>
      <c r="F82" s="475"/>
      <c r="G82" s="475"/>
      <c r="H82" s="475"/>
      <c r="I82" s="475"/>
      <c r="J82" s="475"/>
      <c r="K82" s="475"/>
      <c r="L82" s="475"/>
      <c r="M82" s="475"/>
      <c r="N82" s="475"/>
      <c r="O82" s="475"/>
      <c r="P82" s="475"/>
      <c r="Q82" s="475"/>
      <c r="R82" s="475"/>
      <c r="S82" s="475"/>
      <c r="T82" s="475"/>
      <c r="U82" s="475"/>
      <c r="V82" s="475"/>
      <c r="W82" s="475"/>
      <c r="X82" s="475"/>
      <c r="Y82" s="475"/>
      <c r="Z82" s="475"/>
      <c r="AA82" s="475"/>
      <c r="AB82" s="475"/>
      <c r="AC82" s="475"/>
      <c r="AD82" s="475"/>
      <c r="AE82" s="475"/>
      <c r="AF82" s="475"/>
      <c r="AG82" s="475"/>
      <c r="AH82" s="475"/>
    </row>
    <row r="83" spans="1:34" x14ac:dyDescent="0.25">
      <c r="A83" s="471"/>
      <c r="B83" s="475"/>
      <c r="C83" s="475"/>
      <c r="D83" s="475"/>
      <c r="E83" s="475"/>
      <c r="F83" s="475"/>
      <c r="G83" s="475"/>
      <c r="H83" s="475"/>
      <c r="I83" s="475"/>
      <c r="J83" s="475"/>
      <c r="K83" s="475"/>
      <c r="L83" s="475"/>
      <c r="M83" s="475"/>
      <c r="N83" s="475"/>
      <c r="O83" s="475"/>
      <c r="P83" s="475"/>
      <c r="Q83" s="475"/>
      <c r="R83" s="475"/>
      <c r="S83" s="475"/>
      <c r="T83" s="475"/>
      <c r="U83" s="475"/>
      <c r="V83" s="475"/>
      <c r="W83" s="475"/>
      <c r="X83" s="475"/>
      <c r="Y83" s="475"/>
      <c r="Z83" s="475"/>
      <c r="AA83" s="475"/>
      <c r="AB83" s="475"/>
      <c r="AC83" s="475"/>
      <c r="AD83" s="475"/>
      <c r="AE83" s="475"/>
      <c r="AF83" s="475"/>
      <c r="AG83" s="475"/>
      <c r="AH83" s="475"/>
    </row>
    <row r="84" spans="1:34" x14ac:dyDescent="0.25">
      <c r="A84" s="471"/>
      <c r="B84" s="475"/>
      <c r="C84" s="475"/>
      <c r="D84" s="475"/>
      <c r="E84" s="475"/>
      <c r="F84" s="475"/>
      <c r="G84" s="475"/>
      <c r="H84" s="475"/>
      <c r="I84" s="475"/>
      <c r="J84" s="475"/>
      <c r="K84" s="475"/>
      <c r="L84" s="475"/>
      <c r="M84" s="475"/>
      <c r="N84" s="475"/>
      <c r="O84" s="475"/>
      <c r="P84" s="475"/>
      <c r="Q84" s="475"/>
      <c r="R84" s="475"/>
      <c r="S84" s="475"/>
      <c r="T84" s="475"/>
      <c r="U84" s="475"/>
      <c r="V84" s="475"/>
      <c r="W84" s="475"/>
      <c r="X84" s="475"/>
      <c r="Y84" s="475"/>
      <c r="Z84" s="475"/>
      <c r="AA84" s="475"/>
      <c r="AB84" s="475"/>
      <c r="AC84" s="475"/>
      <c r="AD84" s="475"/>
      <c r="AE84" s="475"/>
      <c r="AF84" s="475"/>
      <c r="AG84" s="475"/>
      <c r="AH84" s="475"/>
    </row>
    <row r="85" spans="1:34" x14ac:dyDescent="0.25">
      <c r="A85" s="471"/>
      <c r="B85" s="475"/>
      <c r="C85" s="475"/>
      <c r="D85" s="475"/>
      <c r="E85" s="475"/>
      <c r="F85" s="475"/>
      <c r="G85" s="475"/>
      <c r="H85" s="475"/>
      <c r="I85" s="475"/>
      <c r="J85" s="475"/>
      <c r="K85" s="475"/>
      <c r="L85" s="475"/>
      <c r="M85" s="475"/>
      <c r="N85" s="475"/>
      <c r="O85" s="475"/>
      <c r="P85" s="475"/>
      <c r="Q85" s="475"/>
      <c r="R85" s="475"/>
      <c r="S85" s="475"/>
      <c r="T85" s="475"/>
      <c r="U85" s="475"/>
      <c r="V85" s="475"/>
      <c r="W85" s="475"/>
      <c r="X85" s="475"/>
      <c r="Y85" s="475"/>
      <c r="Z85" s="475"/>
      <c r="AA85" s="475"/>
      <c r="AB85" s="475"/>
      <c r="AC85" s="475"/>
      <c r="AD85" s="475"/>
      <c r="AE85" s="475"/>
      <c r="AF85" s="475"/>
      <c r="AG85" s="475"/>
      <c r="AH85" s="475"/>
    </row>
    <row r="86" spans="1:34" x14ac:dyDescent="0.25">
      <c r="A86" s="471"/>
      <c r="B86" s="475"/>
      <c r="C86" s="475"/>
      <c r="D86" s="475"/>
      <c r="E86" s="475"/>
      <c r="F86" s="475"/>
      <c r="G86" s="475"/>
      <c r="H86" s="475"/>
      <c r="I86" s="475"/>
      <c r="J86" s="475"/>
      <c r="K86" s="475"/>
      <c r="L86" s="475"/>
      <c r="M86" s="475"/>
      <c r="N86" s="475"/>
      <c r="O86" s="475"/>
      <c r="P86" s="475"/>
      <c r="Q86" s="475"/>
      <c r="R86" s="475"/>
      <c r="S86" s="475"/>
      <c r="T86" s="475"/>
      <c r="U86" s="475"/>
      <c r="V86" s="475"/>
      <c r="W86" s="475"/>
      <c r="X86" s="475"/>
      <c r="Y86" s="475"/>
      <c r="Z86" s="475"/>
      <c r="AA86" s="475"/>
      <c r="AB86" s="475"/>
      <c r="AC86" s="475"/>
      <c r="AD86" s="475"/>
      <c r="AE86" s="475"/>
      <c r="AF86" s="475"/>
      <c r="AG86" s="475"/>
      <c r="AH86" s="475"/>
    </row>
    <row r="87" spans="1:34" x14ac:dyDescent="0.25">
      <c r="A87" s="471"/>
      <c r="B87" s="475"/>
      <c r="C87" s="475"/>
      <c r="D87" s="475"/>
      <c r="E87" s="475"/>
      <c r="F87" s="475"/>
      <c r="G87" s="475"/>
      <c r="H87" s="475"/>
      <c r="I87" s="475"/>
      <c r="J87" s="475"/>
      <c r="K87" s="475"/>
      <c r="L87" s="475"/>
      <c r="M87" s="475"/>
      <c r="N87" s="475"/>
      <c r="O87" s="475"/>
      <c r="P87" s="475"/>
      <c r="Q87" s="475"/>
      <c r="R87" s="475"/>
      <c r="S87" s="475"/>
      <c r="T87" s="475"/>
      <c r="U87" s="475"/>
      <c r="V87" s="475"/>
      <c r="W87" s="475"/>
      <c r="X87" s="475"/>
      <c r="Y87" s="475"/>
      <c r="Z87" s="475"/>
      <c r="AA87" s="475"/>
      <c r="AB87" s="475"/>
      <c r="AC87" s="475"/>
      <c r="AD87" s="475"/>
      <c r="AE87" s="475"/>
      <c r="AF87" s="475"/>
      <c r="AG87" s="475"/>
      <c r="AH87" s="475"/>
    </row>
    <row r="88" spans="1:34" x14ac:dyDescent="0.25">
      <c r="A88" s="471"/>
      <c r="B88" s="475"/>
      <c r="C88" s="475"/>
      <c r="D88" s="475"/>
      <c r="E88" s="475"/>
      <c r="F88" s="475"/>
      <c r="G88" s="475"/>
      <c r="H88" s="475"/>
      <c r="I88" s="475"/>
      <c r="J88" s="475"/>
      <c r="K88" s="475"/>
      <c r="L88" s="475"/>
      <c r="M88" s="475"/>
      <c r="N88" s="475"/>
      <c r="O88" s="475"/>
      <c r="P88" s="475"/>
      <c r="Q88" s="475"/>
      <c r="R88" s="475"/>
      <c r="S88" s="475"/>
      <c r="T88" s="475"/>
      <c r="U88" s="475"/>
      <c r="V88" s="475"/>
      <c r="W88" s="475"/>
      <c r="X88" s="475"/>
      <c r="Y88" s="475"/>
      <c r="Z88" s="475"/>
      <c r="AA88" s="475"/>
      <c r="AB88" s="475"/>
      <c r="AC88" s="475"/>
      <c r="AD88" s="475"/>
      <c r="AE88" s="475"/>
      <c r="AF88" s="475"/>
      <c r="AG88" s="475"/>
      <c r="AH88" s="475"/>
    </row>
    <row r="89" spans="1:34" x14ac:dyDescent="0.25">
      <c r="A89" s="471"/>
      <c r="B89" s="475"/>
      <c r="C89" s="475"/>
      <c r="D89" s="475"/>
      <c r="E89" s="475"/>
      <c r="F89" s="475"/>
      <c r="G89" s="475"/>
      <c r="H89" s="475"/>
      <c r="I89" s="475"/>
      <c r="J89" s="475"/>
      <c r="K89" s="475"/>
      <c r="L89" s="475"/>
      <c r="M89" s="475"/>
      <c r="N89" s="475"/>
      <c r="O89" s="475"/>
      <c r="P89" s="475"/>
      <c r="Q89" s="475"/>
      <c r="R89" s="475"/>
      <c r="S89" s="475"/>
      <c r="T89" s="475"/>
      <c r="U89" s="475"/>
      <c r="V89" s="475"/>
      <c r="W89" s="475"/>
      <c r="X89" s="475"/>
      <c r="Y89" s="475"/>
      <c r="Z89" s="475"/>
      <c r="AA89" s="475"/>
      <c r="AB89" s="475"/>
      <c r="AC89" s="475"/>
      <c r="AD89" s="475"/>
      <c r="AE89" s="475"/>
      <c r="AF89" s="475"/>
      <c r="AG89" s="475"/>
      <c r="AH89" s="475"/>
    </row>
    <row r="90" spans="1:34" x14ac:dyDescent="0.25">
      <c r="A90" s="471"/>
      <c r="B90" s="342"/>
      <c r="C90" s="342"/>
      <c r="D90" s="342"/>
      <c r="E90" s="342"/>
      <c r="F90" s="342"/>
      <c r="G90" s="342"/>
      <c r="H90" s="342"/>
      <c r="I90" s="342"/>
      <c r="J90" s="342"/>
      <c r="K90" s="342"/>
      <c r="L90" s="342"/>
      <c r="M90" s="342"/>
      <c r="N90" s="342"/>
      <c r="O90" s="342"/>
      <c r="P90" s="342"/>
      <c r="Q90" s="342"/>
      <c r="R90" s="342"/>
      <c r="S90" s="342"/>
      <c r="T90" s="342"/>
      <c r="U90" s="342"/>
      <c r="V90" s="342"/>
      <c r="W90" s="342"/>
      <c r="X90" s="342"/>
      <c r="Y90" s="342"/>
      <c r="Z90" s="342"/>
      <c r="AA90" s="342"/>
      <c r="AB90" s="342"/>
      <c r="AC90" s="342"/>
      <c r="AD90" s="342"/>
      <c r="AE90" s="342"/>
      <c r="AF90" s="342"/>
    </row>
    <row r="91" spans="1:34" x14ac:dyDescent="0.25">
      <c r="A91" s="471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42"/>
      <c r="P91" s="342"/>
      <c r="Q91" s="342"/>
      <c r="R91" s="342"/>
      <c r="S91" s="342"/>
      <c r="T91" s="342"/>
      <c r="U91" s="342"/>
      <c r="V91" s="342"/>
      <c r="W91" s="342"/>
      <c r="X91" s="342"/>
      <c r="Y91" s="342"/>
      <c r="Z91" s="342"/>
      <c r="AA91" s="342"/>
      <c r="AB91" s="342"/>
      <c r="AC91" s="342"/>
      <c r="AD91" s="342"/>
      <c r="AE91" s="342"/>
      <c r="AF91" s="342"/>
    </row>
    <row r="92" spans="1:34" x14ac:dyDescent="0.25">
      <c r="A92" s="471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42"/>
      <c r="P92" s="342"/>
      <c r="Q92" s="342"/>
      <c r="R92" s="342"/>
      <c r="S92" s="342"/>
      <c r="T92" s="342"/>
      <c r="U92" s="342"/>
      <c r="V92" s="342"/>
      <c r="W92" s="342"/>
      <c r="X92" s="342"/>
      <c r="Y92" s="342"/>
      <c r="Z92" s="342"/>
      <c r="AA92" s="342"/>
      <c r="AB92" s="342"/>
      <c r="AC92" s="342"/>
      <c r="AD92" s="342"/>
      <c r="AE92" s="342"/>
      <c r="AF92" s="342"/>
    </row>
    <row r="93" spans="1:34" x14ac:dyDescent="0.25">
      <c r="A93" s="471"/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42"/>
      <c r="AB93" s="342"/>
      <c r="AC93" s="342"/>
      <c r="AD93" s="342"/>
      <c r="AE93" s="342"/>
      <c r="AF93" s="342"/>
    </row>
    <row r="94" spans="1:34" x14ac:dyDescent="0.25">
      <c r="A94" s="471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42"/>
      <c r="AB94" s="342"/>
      <c r="AC94" s="342"/>
      <c r="AD94" s="342"/>
      <c r="AE94" s="342"/>
      <c r="AF94" s="342"/>
    </row>
    <row r="95" spans="1:34" x14ac:dyDescent="0.25">
      <c r="A95" s="471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42"/>
      <c r="N95" s="342"/>
      <c r="O95" s="342"/>
      <c r="P95" s="342"/>
      <c r="Q95" s="342"/>
      <c r="R95" s="342"/>
      <c r="S95" s="342"/>
      <c r="T95" s="342"/>
      <c r="U95" s="342"/>
      <c r="V95" s="342"/>
      <c r="W95" s="342"/>
      <c r="X95" s="342"/>
      <c r="Y95" s="342"/>
      <c r="Z95" s="342"/>
      <c r="AA95" s="342"/>
      <c r="AB95" s="342"/>
      <c r="AC95" s="342"/>
      <c r="AD95" s="342"/>
      <c r="AE95" s="342"/>
      <c r="AF95" s="342"/>
    </row>
    <row r="96" spans="1:34" x14ac:dyDescent="0.25">
      <c r="A96" s="471"/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42"/>
      <c r="Z96" s="342"/>
      <c r="AA96" s="342"/>
      <c r="AB96" s="342"/>
      <c r="AC96" s="342"/>
      <c r="AD96" s="342"/>
      <c r="AE96" s="342"/>
      <c r="AF96" s="342"/>
    </row>
    <row r="97" spans="1:32" x14ac:dyDescent="0.25">
      <c r="A97" s="471"/>
      <c r="B97" s="342"/>
      <c r="C97" s="342"/>
      <c r="D97" s="342"/>
      <c r="E97" s="342"/>
      <c r="F97" s="342"/>
      <c r="G97" s="342"/>
      <c r="H97" s="342"/>
      <c r="I97" s="342"/>
      <c r="J97" s="342"/>
      <c r="K97" s="342"/>
      <c r="L97" s="342"/>
      <c r="M97" s="342"/>
      <c r="N97" s="342"/>
      <c r="O97" s="342"/>
      <c r="P97" s="342"/>
      <c r="Q97" s="342"/>
      <c r="R97" s="342"/>
      <c r="S97" s="342"/>
      <c r="T97" s="342"/>
      <c r="U97" s="342"/>
      <c r="V97" s="342"/>
      <c r="W97" s="342"/>
      <c r="X97" s="342"/>
      <c r="Y97" s="342"/>
      <c r="Z97" s="342"/>
      <c r="AA97" s="342"/>
      <c r="AB97" s="342"/>
      <c r="AC97" s="342"/>
      <c r="AD97" s="342"/>
      <c r="AE97" s="342"/>
      <c r="AF97" s="342"/>
    </row>
    <row r="98" spans="1:32" x14ac:dyDescent="0.25">
      <c r="A98" s="471"/>
      <c r="B98" s="342"/>
      <c r="C98" s="342"/>
      <c r="D98" s="342"/>
      <c r="E98" s="342"/>
      <c r="F98" s="342"/>
      <c r="G98" s="342"/>
      <c r="H98" s="342"/>
      <c r="I98" s="342"/>
      <c r="J98" s="342"/>
      <c r="K98" s="342"/>
      <c r="L98" s="342"/>
      <c r="M98" s="342"/>
      <c r="N98" s="342"/>
      <c r="O98" s="342"/>
      <c r="P98" s="342"/>
      <c r="Q98" s="342"/>
      <c r="R98" s="342"/>
      <c r="S98" s="342"/>
      <c r="T98" s="342"/>
      <c r="U98" s="342"/>
      <c r="V98" s="342"/>
      <c r="W98" s="342"/>
      <c r="X98" s="342"/>
      <c r="Y98" s="342"/>
      <c r="Z98" s="342"/>
      <c r="AA98" s="342"/>
      <c r="AB98" s="342"/>
      <c r="AC98" s="342"/>
      <c r="AD98" s="342"/>
      <c r="AE98" s="342"/>
      <c r="AF98" s="342"/>
    </row>
    <row r="99" spans="1:32" x14ac:dyDescent="0.25">
      <c r="A99" s="471"/>
      <c r="B99" s="342"/>
      <c r="C99" s="342"/>
      <c r="D99" s="342"/>
      <c r="E99" s="342"/>
      <c r="F99" s="342"/>
      <c r="G99" s="342"/>
      <c r="H99" s="342"/>
      <c r="I99" s="342"/>
      <c r="J99" s="342"/>
      <c r="K99" s="342"/>
      <c r="L99" s="342"/>
      <c r="M99" s="342"/>
      <c r="N99" s="342"/>
      <c r="O99" s="342"/>
      <c r="P99" s="342"/>
      <c r="Q99" s="342"/>
      <c r="R99" s="342"/>
      <c r="S99" s="342"/>
      <c r="T99" s="342"/>
      <c r="U99" s="342"/>
      <c r="V99" s="342"/>
      <c r="W99" s="342"/>
      <c r="X99" s="342"/>
      <c r="Y99" s="342"/>
      <c r="Z99" s="342"/>
      <c r="AA99" s="342"/>
      <c r="AB99" s="342"/>
      <c r="AC99" s="342"/>
      <c r="AD99" s="342"/>
      <c r="AE99" s="342"/>
      <c r="AF99" s="342"/>
    </row>
    <row r="100" spans="1:32" x14ac:dyDescent="0.25">
      <c r="A100" s="471"/>
      <c r="B100" s="342"/>
      <c r="C100" s="342"/>
      <c r="D100" s="342"/>
      <c r="E100" s="342"/>
      <c r="F100" s="342"/>
      <c r="G100" s="342"/>
      <c r="H100" s="342"/>
      <c r="I100" s="342"/>
      <c r="J100" s="342"/>
      <c r="K100" s="342"/>
      <c r="L100" s="342"/>
      <c r="M100" s="342"/>
      <c r="N100" s="342"/>
      <c r="O100" s="342"/>
      <c r="P100" s="342"/>
      <c r="Q100" s="342"/>
      <c r="R100" s="342"/>
      <c r="S100" s="342"/>
      <c r="T100" s="342"/>
      <c r="U100" s="342"/>
      <c r="V100" s="342"/>
      <c r="W100" s="342"/>
      <c r="X100" s="342"/>
      <c r="Y100" s="342"/>
      <c r="Z100" s="342"/>
      <c r="AA100" s="342"/>
      <c r="AB100" s="342"/>
      <c r="AC100" s="342"/>
      <c r="AD100" s="342"/>
      <c r="AE100" s="342"/>
      <c r="AF100" s="342"/>
    </row>
    <row r="101" spans="1:32" x14ac:dyDescent="0.25">
      <c r="A101" s="471"/>
      <c r="B101" s="342"/>
      <c r="C101" s="342"/>
      <c r="D101" s="342"/>
      <c r="E101" s="342"/>
      <c r="F101" s="342"/>
      <c r="G101" s="342"/>
      <c r="H101" s="342"/>
      <c r="I101" s="342"/>
      <c r="J101" s="342"/>
      <c r="K101" s="342"/>
      <c r="L101" s="342"/>
      <c r="M101" s="342"/>
      <c r="N101" s="342"/>
      <c r="O101" s="342"/>
      <c r="P101" s="342"/>
      <c r="Q101" s="342"/>
      <c r="R101" s="342"/>
      <c r="S101" s="342"/>
      <c r="T101" s="342"/>
      <c r="U101" s="342"/>
      <c r="V101" s="342"/>
      <c r="W101" s="342"/>
      <c r="X101" s="342"/>
      <c r="Y101" s="342"/>
      <c r="Z101" s="342"/>
      <c r="AA101" s="342"/>
      <c r="AB101" s="342"/>
      <c r="AC101" s="342"/>
      <c r="AD101" s="342"/>
      <c r="AE101" s="342"/>
      <c r="AF101" s="342"/>
    </row>
    <row r="102" spans="1:32" x14ac:dyDescent="0.25">
      <c r="A102" s="471"/>
      <c r="B102" s="342"/>
      <c r="C102" s="342"/>
      <c r="D102" s="342"/>
      <c r="E102" s="342"/>
      <c r="F102" s="342"/>
      <c r="G102" s="342"/>
      <c r="H102" s="342"/>
      <c r="I102" s="342"/>
      <c r="J102" s="342"/>
      <c r="K102" s="342"/>
      <c r="L102" s="342"/>
      <c r="M102" s="342"/>
      <c r="N102" s="342"/>
      <c r="O102" s="342"/>
      <c r="P102" s="342"/>
      <c r="Q102" s="342"/>
      <c r="R102" s="342"/>
      <c r="S102" s="342"/>
      <c r="T102" s="342"/>
      <c r="U102" s="342"/>
      <c r="V102" s="342"/>
      <c r="W102" s="342"/>
      <c r="X102" s="342"/>
      <c r="Y102" s="342"/>
      <c r="Z102" s="342"/>
      <c r="AA102" s="342"/>
      <c r="AB102" s="342"/>
      <c r="AC102" s="342"/>
      <c r="AD102" s="342"/>
      <c r="AE102" s="342"/>
      <c r="AF102" s="342"/>
    </row>
    <row r="103" spans="1:32" x14ac:dyDescent="0.25">
      <c r="A103" s="471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42"/>
      <c r="P103" s="342"/>
      <c r="Q103" s="342"/>
      <c r="R103" s="342"/>
      <c r="S103" s="342"/>
      <c r="T103" s="342"/>
      <c r="U103" s="342"/>
      <c r="V103" s="342"/>
      <c r="W103" s="342"/>
      <c r="X103" s="342"/>
      <c r="Y103" s="342"/>
      <c r="Z103" s="342"/>
      <c r="AA103" s="342"/>
      <c r="AB103" s="342"/>
      <c r="AC103" s="342"/>
      <c r="AD103" s="342"/>
      <c r="AE103" s="342"/>
      <c r="AF103" s="342"/>
    </row>
    <row r="104" spans="1:32" x14ac:dyDescent="0.25">
      <c r="A104" s="471"/>
      <c r="B104" s="472"/>
      <c r="C104" s="463"/>
    </row>
    <row r="105" spans="1:32" x14ac:dyDescent="0.25">
      <c r="A105" s="471"/>
      <c r="B105" s="472"/>
      <c r="C105" s="463"/>
    </row>
    <row r="106" spans="1:32" x14ac:dyDescent="0.25">
      <c r="A106" s="471"/>
      <c r="B106" s="472"/>
      <c r="C106" s="463"/>
    </row>
    <row r="107" spans="1:32" x14ac:dyDescent="0.25">
      <c r="A107" s="471"/>
      <c r="B107" s="472"/>
      <c r="C107" s="463"/>
    </row>
    <row r="108" spans="1:32" x14ac:dyDescent="0.25">
      <c r="A108" s="471"/>
      <c r="B108" s="472"/>
      <c r="C108" s="463"/>
    </row>
    <row r="109" spans="1:32" x14ac:dyDescent="0.25">
      <c r="A109" s="471"/>
      <c r="B109" s="472"/>
      <c r="C109" s="463"/>
    </row>
    <row r="110" spans="1:32" x14ac:dyDescent="0.25">
      <c r="A110" s="471"/>
      <c r="B110" s="472"/>
      <c r="C110" s="463"/>
    </row>
    <row r="111" spans="1:32" x14ac:dyDescent="0.25">
      <c r="A111" s="471"/>
      <c r="B111" s="472"/>
      <c r="C111" s="463"/>
    </row>
    <row r="112" spans="1:32" x14ac:dyDescent="0.25">
      <c r="A112" s="471"/>
      <c r="B112" s="472"/>
      <c r="C112" s="463"/>
    </row>
    <row r="113" spans="1:3" x14ac:dyDescent="0.25">
      <c r="A113" s="471"/>
      <c r="B113" s="472"/>
      <c r="C113" s="463"/>
    </row>
    <row r="114" spans="1:3" x14ac:dyDescent="0.25">
      <c r="A114" s="471"/>
      <c r="B114" s="472"/>
      <c r="C114" s="463"/>
    </row>
    <row r="115" spans="1:3" x14ac:dyDescent="0.25">
      <c r="A115" s="471"/>
      <c r="B115" s="472"/>
      <c r="C115" s="463"/>
    </row>
    <row r="116" spans="1:3" x14ac:dyDescent="0.25">
      <c r="A116" s="471"/>
      <c r="B116" s="472"/>
      <c r="C116" s="463"/>
    </row>
    <row r="117" spans="1:3" x14ac:dyDescent="0.25">
      <c r="A117" s="471"/>
      <c r="B117" s="472"/>
      <c r="C117" s="463"/>
    </row>
    <row r="118" spans="1:3" x14ac:dyDescent="0.25">
      <c r="A118" s="471"/>
      <c r="B118" s="472"/>
      <c r="C118" s="463"/>
    </row>
    <row r="119" spans="1:3" x14ac:dyDescent="0.25">
      <c r="A119" s="471"/>
      <c r="B119" s="472"/>
      <c r="C119" s="463"/>
    </row>
    <row r="120" spans="1:3" x14ac:dyDescent="0.25">
      <c r="A120" s="471"/>
      <c r="B120" s="472"/>
      <c r="C120" s="463"/>
    </row>
    <row r="121" spans="1:3" x14ac:dyDescent="0.25">
      <c r="A121" s="471"/>
      <c r="B121" s="472"/>
      <c r="C121" s="463"/>
    </row>
    <row r="122" spans="1:3" x14ac:dyDescent="0.25">
      <c r="A122" s="471"/>
      <c r="B122" s="472"/>
      <c r="C122" s="463"/>
    </row>
    <row r="123" spans="1:3" x14ac:dyDescent="0.25">
      <c r="A123" s="471"/>
      <c r="B123" s="472"/>
      <c r="C123" s="463"/>
    </row>
    <row r="124" spans="1:3" x14ac:dyDescent="0.25">
      <c r="A124" s="471"/>
      <c r="B124" s="472"/>
      <c r="C124" s="463"/>
    </row>
    <row r="125" spans="1:3" x14ac:dyDescent="0.25">
      <c r="A125" s="471"/>
      <c r="B125" s="472"/>
      <c r="C125" s="463"/>
    </row>
    <row r="126" spans="1:3" x14ac:dyDescent="0.25">
      <c r="A126" s="471"/>
      <c r="B126" s="472"/>
      <c r="C126" s="463"/>
    </row>
    <row r="127" spans="1:3" x14ac:dyDescent="0.25">
      <c r="A127" s="471"/>
      <c r="B127" s="472"/>
      <c r="C127" s="463"/>
    </row>
    <row r="128" spans="1:3" x14ac:dyDescent="0.25">
      <c r="A128" s="471"/>
      <c r="B128" s="472"/>
      <c r="C128" s="463"/>
    </row>
    <row r="129" spans="1:3" x14ac:dyDescent="0.25">
      <c r="A129" s="471"/>
      <c r="B129" s="472"/>
      <c r="C129" s="463"/>
    </row>
    <row r="130" spans="1:3" x14ac:dyDescent="0.25">
      <c r="A130" s="471"/>
      <c r="B130" s="472"/>
      <c r="C130" s="463"/>
    </row>
    <row r="131" spans="1:3" x14ac:dyDescent="0.25">
      <c r="A131" s="471"/>
      <c r="B131" s="472"/>
      <c r="C131" s="463"/>
    </row>
    <row r="132" spans="1:3" x14ac:dyDescent="0.25">
      <c r="A132" s="471"/>
      <c r="B132" s="472"/>
      <c r="C132" s="463"/>
    </row>
    <row r="133" spans="1:3" x14ac:dyDescent="0.25">
      <c r="A133" s="471"/>
      <c r="B133" s="472"/>
      <c r="C133" s="463"/>
    </row>
    <row r="134" spans="1:3" x14ac:dyDescent="0.25">
      <c r="A134" s="471"/>
      <c r="B134" s="472"/>
      <c r="C134" s="463"/>
    </row>
    <row r="135" spans="1:3" x14ac:dyDescent="0.25">
      <c r="A135" s="471"/>
      <c r="B135" s="472"/>
      <c r="C135" s="463"/>
    </row>
    <row r="136" spans="1:3" x14ac:dyDescent="0.25">
      <c r="A136" s="471"/>
      <c r="B136" s="472"/>
      <c r="C136" s="463"/>
    </row>
    <row r="137" spans="1:3" x14ac:dyDescent="0.25">
      <c r="A137" s="471"/>
      <c r="B137" s="472"/>
      <c r="C137" s="463"/>
    </row>
    <row r="138" spans="1:3" x14ac:dyDescent="0.25">
      <c r="A138" s="471"/>
      <c r="B138" s="472"/>
      <c r="C138" s="463"/>
    </row>
    <row r="139" spans="1:3" x14ac:dyDescent="0.25">
      <c r="A139" s="471"/>
      <c r="B139" s="472"/>
      <c r="C139" s="463"/>
    </row>
    <row r="140" spans="1:3" x14ac:dyDescent="0.25">
      <c r="A140" s="471"/>
      <c r="B140" s="472"/>
      <c r="C140" s="463"/>
    </row>
    <row r="141" spans="1:3" x14ac:dyDescent="0.25">
      <c r="A141" s="471"/>
      <c r="B141" s="472"/>
      <c r="C141" s="463"/>
    </row>
    <row r="142" spans="1:3" x14ac:dyDescent="0.25">
      <c r="A142" s="471"/>
      <c r="B142" s="472"/>
      <c r="C142" s="463"/>
    </row>
    <row r="143" spans="1:3" x14ac:dyDescent="0.25">
      <c r="A143" s="471"/>
      <c r="B143" s="472"/>
      <c r="C143" s="463"/>
    </row>
    <row r="144" spans="1:3" x14ac:dyDescent="0.25">
      <c r="A144" s="471"/>
      <c r="B144" s="472"/>
      <c r="C144" s="463"/>
    </row>
    <row r="145" spans="1:3" x14ac:dyDescent="0.25">
      <c r="A145" s="471"/>
      <c r="B145" s="472"/>
      <c r="C145" s="463"/>
    </row>
    <row r="146" spans="1:3" x14ac:dyDescent="0.25">
      <c r="A146" s="471"/>
      <c r="B146" s="472"/>
      <c r="C146" s="463"/>
    </row>
    <row r="147" spans="1:3" x14ac:dyDescent="0.25">
      <c r="A147" s="471"/>
      <c r="B147" s="472"/>
      <c r="C147" s="463"/>
    </row>
    <row r="148" spans="1:3" x14ac:dyDescent="0.25">
      <c r="A148" s="471"/>
      <c r="B148" s="472"/>
      <c r="C148" s="463"/>
    </row>
    <row r="149" spans="1:3" x14ac:dyDescent="0.25">
      <c r="A149" s="471"/>
      <c r="B149" s="472"/>
      <c r="C149" s="463"/>
    </row>
    <row r="150" spans="1:3" x14ac:dyDescent="0.25">
      <c r="A150" s="471"/>
      <c r="B150" s="472"/>
      <c r="C150" s="463"/>
    </row>
    <row r="151" spans="1:3" x14ac:dyDescent="0.25">
      <c r="A151" s="471"/>
      <c r="B151" s="472"/>
      <c r="C151" s="463"/>
    </row>
    <row r="152" spans="1:3" x14ac:dyDescent="0.25">
      <c r="A152" s="471"/>
      <c r="B152" s="472"/>
      <c r="C152" s="463"/>
    </row>
    <row r="153" spans="1:3" x14ac:dyDescent="0.25">
      <c r="A153" s="471"/>
      <c r="B153" s="472"/>
      <c r="C153" s="463"/>
    </row>
    <row r="154" spans="1:3" x14ac:dyDescent="0.25">
      <c r="A154" s="471"/>
      <c r="B154" s="472"/>
      <c r="C154" s="463"/>
    </row>
    <row r="155" spans="1:3" x14ac:dyDescent="0.25">
      <c r="A155" s="471"/>
      <c r="B155" s="472"/>
      <c r="C155" s="463"/>
    </row>
    <row r="156" spans="1:3" x14ac:dyDescent="0.25">
      <c r="A156" s="471"/>
      <c r="B156" s="472"/>
      <c r="C156" s="463"/>
    </row>
    <row r="157" spans="1:3" x14ac:dyDescent="0.25">
      <c r="A157" s="471"/>
      <c r="B157" s="472"/>
      <c r="C157" s="463"/>
    </row>
    <row r="158" spans="1:3" x14ac:dyDescent="0.25">
      <c r="A158" s="471"/>
      <c r="B158" s="472"/>
      <c r="C158" s="463"/>
    </row>
    <row r="159" spans="1:3" x14ac:dyDescent="0.25">
      <c r="A159" s="471"/>
      <c r="B159" s="472"/>
      <c r="C159" s="463"/>
    </row>
    <row r="160" spans="1:3" x14ac:dyDescent="0.25">
      <c r="A160" s="471"/>
      <c r="B160" s="472"/>
      <c r="C160" s="463"/>
    </row>
    <row r="161" spans="1:3" x14ac:dyDescent="0.25">
      <c r="A161" s="471"/>
      <c r="B161" s="472"/>
      <c r="C161" s="463"/>
    </row>
    <row r="162" spans="1:3" x14ac:dyDescent="0.25">
      <c r="A162" s="471"/>
      <c r="B162" s="472"/>
      <c r="C162" s="463"/>
    </row>
    <row r="163" spans="1:3" x14ac:dyDescent="0.25">
      <c r="A163" s="471"/>
      <c r="B163" s="472"/>
      <c r="C163" s="463"/>
    </row>
    <row r="164" spans="1:3" x14ac:dyDescent="0.25">
      <c r="A164" s="471"/>
      <c r="B164" s="472"/>
      <c r="C164" s="463"/>
    </row>
    <row r="165" spans="1:3" x14ac:dyDescent="0.25">
      <c r="A165" s="471"/>
      <c r="B165" s="472"/>
      <c r="C165" s="463"/>
    </row>
    <row r="166" spans="1:3" x14ac:dyDescent="0.25">
      <c r="A166" s="471"/>
      <c r="B166" s="472"/>
      <c r="C166" s="463"/>
    </row>
    <row r="167" spans="1:3" x14ac:dyDescent="0.25">
      <c r="A167" s="471"/>
      <c r="B167" s="472"/>
      <c r="C167" s="463"/>
    </row>
    <row r="168" spans="1:3" x14ac:dyDescent="0.25">
      <c r="A168" s="471"/>
      <c r="B168" s="472"/>
      <c r="C168" s="463"/>
    </row>
    <row r="169" spans="1:3" x14ac:dyDescent="0.25">
      <c r="A169" s="471"/>
      <c r="B169" s="472"/>
      <c r="C169" s="463"/>
    </row>
    <row r="170" spans="1:3" x14ac:dyDescent="0.25">
      <c r="A170" s="471"/>
      <c r="B170" s="472"/>
      <c r="C170" s="463"/>
    </row>
    <row r="171" spans="1:3" x14ac:dyDescent="0.25">
      <c r="A171" s="471"/>
      <c r="B171" s="472"/>
      <c r="C171" s="463"/>
    </row>
    <row r="172" spans="1:3" x14ac:dyDescent="0.25">
      <c r="A172" s="471"/>
      <c r="B172" s="472"/>
      <c r="C172" s="463"/>
    </row>
    <row r="173" spans="1:3" x14ac:dyDescent="0.25">
      <c r="A173" s="471"/>
      <c r="B173" s="472"/>
      <c r="C173" s="463"/>
    </row>
    <row r="174" spans="1:3" x14ac:dyDescent="0.25">
      <c r="A174" s="471"/>
      <c r="B174" s="472"/>
      <c r="C174" s="463"/>
    </row>
    <row r="175" spans="1:3" x14ac:dyDescent="0.25">
      <c r="A175" s="471"/>
      <c r="B175" s="472"/>
      <c r="C175" s="463"/>
    </row>
    <row r="176" spans="1:3" x14ac:dyDescent="0.25">
      <c r="A176" s="471"/>
      <c r="B176" s="472"/>
      <c r="C176" s="463"/>
    </row>
    <row r="177" spans="1:3" x14ac:dyDescent="0.25">
      <c r="A177" s="471"/>
      <c r="B177" s="472"/>
      <c r="C177" s="463"/>
    </row>
    <row r="178" spans="1:3" x14ac:dyDescent="0.25">
      <c r="A178" s="471"/>
      <c r="B178" s="472"/>
      <c r="C178" s="463"/>
    </row>
    <row r="179" spans="1:3" x14ac:dyDescent="0.25">
      <c r="A179" s="471"/>
      <c r="B179" s="472"/>
      <c r="C179" s="463"/>
    </row>
    <row r="180" spans="1:3" x14ac:dyDescent="0.25">
      <c r="A180" s="471"/>
      <c r="B180" s="472"/>
      <c r="C180" s="463"/>
    </row>
    <row r="181" spans="1:3" x14ac:dyDescent="0.25">
      <c r="A181" s="471"/>
      <c r="B181" s="472"/>
      <c r="C181" s="463"/>
    </row>
    <row r="182" spans="1:3" x14ac:dyDescent="0.25">
      <c r="A182" s="471"/>
      <c r="B182" s="472"/>
      <c r="C182" s="463"/>
    </row>
    <row r="183" spans="1:3" x14ac:dyDescent="0.25">
      <c r="A183" s="471"/>
      <c r="B183" s="472"/>
      <c r="C183" s="463"/>
    </row>
    <row r="184" spans="1:3" x14ac:dyDescent="0.25">
      <c r="A184" s="471"/>
      <c r="B184" s="472"/>
      <c r="C184" s="463"/>
    </row>
    <row r="185" spans="1:3" x14ac:dyDescent="0.25">
      <c r="A185" s="471"/>
      <c r="B185" s="472"/>
      <c r="C185" s="463"/>
    </row>
    <row r="186" spans="1:3" x14ac:dyDescent="0.25">
      <c r="A186" s="471"/>
      <c r="B186" s="472"/>
      <c r="C186" s="463"/>
    </row>
    <row r="187" spans="1:3" x14ac:dyDescent="0.25">
      <c r="A187" s="471"/>
      <c r="B187" s="472"/>
      <c r="C187" s="463"/>
    </row>
    <row r="188" spans="1:3" x14ac:dyDescent="0.25">
      <c r="A188" s="471"/>
      <c r="B188" s="472"/>
      <c r="C188" s="463"/>
    </row>
    <row r="189" spans="1:3" x14ac:dyDescent="0.25">
      <c r="A189" s="471"/>
      <c r="B189" s="472"/>
      <c r="C189" s="463"/>
    </row>
    <row r="190" spans="1:3" x14ac:dyDescent="0.25">
      <c r="A190" s="471"/>
      <c r="B190" s="472"/>
      <c r="C190" s="463"/>
    </row>
    <row r="191" spans="1:3" x14ac:dyDescent="0.25">
      <c r="A191" s="471"/>
      <c r="B191" s="472"/>
      <c r="C191" s="463"/>
    </row>
    <row r="192" spans="1:3" x14ac:dyDescent="0.25">
      <c r="A192" s="471"/>
      <c r="B192" s="472"/>
      <c r="C192" s="463"/>
    </row>
    <row r="193" spans="1:3" x14ac:dyDescent="0.25">
      <c r="A193" s="471"/>
      <c r="B193" s="472"/>
      <c r="C193" s="463"/>
    </row>
    <row r="194" spans="1:3" x14ac:dyDescent="0.25">
      <c r="A194" s="471"/>
      <c r="B194" s="472"/>
      <c r="C194" s="463"/>
    </row>
    <row r="195" spans="1:3" x14ac:dyDescent="0.25">
      <c r="A195" s="471"/>
      <c r="B195" s="472"/>
      <c r="C195" s="463"/>
    </row>
    <row r="196" spans="1:3" x14ac:dyDescent="0.25">
      <c r="A196" s="471"/>
      <c r="B196" s="472"/>
      <c r="C196" s="463"/>
    </row>
    <row r="197" spans="1:3" x14ac:dyDescent="0.25">
      <c r="A197" s="471"/>
      <c r="B197" s="472"/>
      <c r="C197" s="463"/>
    </row>
    <row r="198" spans="1:3" x14ac:dyDescent="0.25">
      <c r="A198" s="471"/>
      <c r="B198" s="472"/>
      <c r="C198" s="463"/>
    </row>
    <row r="199" spans="1:3" x14ac:dyDescent="0.25">
      <c r="A199" s="471"/>
      <c r="B199" s="472"/>
      <c r="C199" s="463"/>
    </row>
    <row r="200" spans="1:3" x14ac:dyDescent="0.25">
      <c r="A200" s="471"/>
      <c r="B200" s="472"/>
      <c r="C200" s="463"/>
    </row>
    <row r="201" spans="1:3" x14ac:dyDescent="0.25">
      <c r="A201" s="471"/>
      <c r="B201" s="472"/>
      <c r="C201" s="463"/>
    </row>
    <row r="202" spans="1:3" x14ac:dyDescent="0.25">
      <c r="A202" s="471"/>
      <c r="B202" s="472"/>
      <c r="C202" s="463"/>
    </row>
    <row r="203" spans="1:3" x14ac:dyDescent="0.25">
      <c r="A203" s="471"/>
      <c r="B203" s="472"/>
      <c r="C203" s="463"/>
    </row>
    <row r="204" spans="1:3" x14ac:dyDescent="0.25">
      <c r="A204" s="471"/>
      <c r="B204" s="472"/>
      <c r="C204" s="463"/>
    </row>
    <row r="205" spans="1:3" x14ac:dyDescent="0.25">
      <c r="A205" s="471"/>
      <c r="B205" s="472"/>
      <c r="C205" s="463"/>
    </row>
    <row r="206" spans="1:3" x14ac:dyDescent="0.25">
      <c r="A206" s="471"/>
      <c r="B206" s="472"/>
      <c r="C206" s="463"/>
    </row>
    <row r="207" spans="1:3" x14ac:dyDescent="0.25">
      <c r="A207" s="471"/>
      <c r="B207" s="472"/>
      <c r="C207" s="463"/>
    </row>
    <row r="208" spans="1:3" x14ac:dyDescent="0.25">
      <c r="A208" s="471"/>
      <c r="B208" s="472"/>
      <c r="C208" s="463"/>
    </row>
    <row r="209" spans="1:3" x14ac:dyDescent="0.25">
      <c r="A209" s="471"/>
      <c r="B209" s="472"/>
      <c r="C209" s="463"/>
    </row>
    <row r="210" spans="1:3" x14ac:dyDescent="0.25">
      <c r="A210" s="471"/>
      <c r="B210" s="472"/>
      <c r="C210" s="463"/>
    </row>
    <row r="211" spans="1:3" x14ac:dyDescent="0.25">
      <c r="A211" s="471"/>
      <c r="B211" s="472"/>
      <c r="C211" s="463"/>
    </row>
    <row r="212" spans="1:3" x14ac:dyDescent="0.25">
      <c r="A212" s="471"/>
      <c r="B212" s="472"/>
      <c r="C212" s="463"/>
    </row>
    <row r="213" spans="1:3" x14ac:dyDescent="0.25">
      <c r="A213" s="471"/>
      <c r="B213" s="472"/>
      <c r="C213" s="463"/>
    </row>
    <row r="214" spans="1:3" x14ac:dyDescent="0.25">
      <c r="A214" s="471"/>
      <c r="B214" s="472"/>
      <c r="C214" s="463"/>
    </row>
    <row r="215" spans="1:3" x14ac:dyDescent="0.25">
      <c r="A215" s="471"/>
      <c r="B215" s="472"/>
      <c r="C215" s="463"/>
    </row>
    <row r="216" spans="1:3" x14ac:dyDescent="0.25">
      <c r="A216" s="471"/>
      <c r="B216" s="472"/>
      <c r="C216" s="463"/>
    </row>
    <row r="217" spans="1:3" x14ac:dyDescent="0.25">
      <c r="A217" s="471"/>
      <c r="B217" s="472"/>
      <c r="C217" s="463"/>
    </row>
    <row r="218" spans="1:3" x14ac:dyDescent="0.25">
      <c r="A218" s="471"/>
      <c r="B218" s="472"/>
      <c r="C218" s="463"/>
    </row>
    <row r="219" spans="1:3" x14ac:dyDescent="0.25">
      <c r="A219" s="471"/>
      <c r="B219" s="472"/>
      <c r="C219" s="463"/>
    </row>
    <row r="220" spans="1:3" x14ac:dyDescent="0.25">
      <c r="A220" s="471"/>
      <c r="B220" s="472"/>
      <c r="C220" s="463"/>
    </row>
    <row r="221" spans="1:3" x14ac:dyDescent="0.25">
      <c r="A221" s="471"/>
      <c r="B221" s="472"/>
      <c r="C221" s="463"/>
    </row>
    <row r="222" spans="1:3" x14ac:dyDescent="0.25">
      <c r="A222" s="471"/>
      <c r="B222" s="472"/>
      <c r="C222" s="463"/>
    </row>
    <row r="223" spans="1:3" x14ac:dyDescent="0.25">
      <c r="A223" s="471"/>
      <c r="B223" s="472"/>
      <c r="C223" s="463"/>
    </row>
    <row r="224" spans="1:3" x14ac:dyDescent="0.25">
      <c r="A224" s="471"/>
      <c r="B224" s="472"/>
      <c r="C224" s="463"/>
    </row>
    <row r="225" spans="1:3" x14ac:dyDescent="0.25">
      <c r="A225" s="471"/>
      <c r="B225" s="472"/>
      <c r="C225" s="463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D45" sqref="D45"/>
    </sheetView>
  </sheetViews>
  <sheetFormatPr defaultRowHeight="13.2" x14ac:dyDescent="0.25"/>
  <sheetData>
    <row r="3" spans="1:5" ht="13.8" x14ac:dyDescent="0.25">
      <c r="A3" s="134"/>
      <c r="B3" s="34" t="s">
        <v>130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11</v>
      </c>
      <c r="B5" s="6" t="s">
        <v>20</v>
      </c>
      <c r="C5" s="6" t="s">
        <v>21</v>
      </c>
    </row>
    <row r="6" spans="1:5" x14ac:dyDescent="0.25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5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5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5">
      <c r="A9" s="10">
        <v>4</v>
      </c>
      <c r="B9" s="11">
        <v>32873</v>
      </c>
      <c r="C9" s="11">
        <v>30123</v>
      </c>
      <c r="D9" s="25">
        <f t="shared" si="0"/>
        <v>-2750</v>
      </c>
    </row>
    <row r="10" spans="1:5" x14ac:dyDescent="0.25">
      <c r="A10" s="10">
        <v>5</v>
      </c>
      <c r="B10" s="11">
        <v>30293</v>
      </c>
      <c r="C10" s="11">
        <v>31700</v>
      </c>
      <c r="D10" s="25">
        <f t="shared" si="0"/>
        <v>1407</v>
      </c>
    </row>
    <row r="11" spans="1:5" x14ac:dyDescent="0.25">
      <c r="A11" s="10">
        <v>6</v>
      </c>
      <c r="B11" s="129">
        <v>30860</v>
      </c>
      <c r="C11" s="11">
        <v>31700</v>
      </c>
      <c r="D11" s="25">
        <f t="shared" si="0"/>
        <v>840</v>
      </c>
    </row>
    <row r="12" spans="1:5" x14ac:dyDescent="0.25">
      <c r="A12" s="10">
        <v>7</v>
      </c>
      <c r="B12" s="129">
        <v>28133</v>
      </c>
      <c r="C12" s="11">
        <v>29064</v>
      </c>
      <c r="D12" s="25">
        <f t="shared" si="0"/>
        <v>931</v>
      </c>
    </row>
    <row r="13" spans="1:5" x14ac:dyDescent="0.25">
      <c r="A13" s="10">
        <v>8</v>
      </c>
      <c r="B13" s="129">
        <v>28521</v>
      </c>
      <c r="C13" s="11">
        <v>31195</v>
      </c>
      <c r="D13" s="25">
        <f t="shared" si="0"/>
        <v>2674</v>
      </c>
    </row>
    <row r="14" spans="1:5" x14ac:dyDescent="0.25">
      <c r="A14" s="10">
        <v>9</v>
      </c>
      <c r="B14" s="129">
        <v>28261</v>
      </c>
      <c r="C14" s="11">
        <v>31700</v>
      </c>
      <c r="D14" s="25">
        <f t="shared" si="0"/>
        <v>3439</v>
      </c>
    </row>
    <row r="15" spans="1:5" x14ac:dyDescent="0.25">
      <c r="A15" s="10">
        <v>10</v>
      </c>
      <c r="B15" s="129">
        <v>32591</v>
      </c>
      <c r="C15" s="11">
        <v>31700</v>
      </c>
      <c r="D15" s="25">
        <f t="shared" si="0"/>
        <v>-891</v>
      </c>
    </row>
    <row r="16" spans="1:5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308498</v>
      </c>
      <c r="C37" s="11">
        <f>SUM(C6:C36)</f>
        <v>312282</v>
      </c>
      <c r="D37" s="25">
        <f>SUM(D6:D36)</f>
        <v>3784</v>
      </c>
    </row>
    <row r="38" spans="1:4" x14ac:dyDescent="0.25">
      <c r="A38" s="26"/>
      <c r="B38" s="31"/>
      <c r="C38" s="14"/>
      <c r="D38" s="337">
        <f>+summary!H5</f>
        <v>2.04</v>
      </c>
    </row>
    <row r="39" spans="1:4" x14ac:dyDescent="0.25">
      <c r="D39" s="138">
        <f>+D38*D37</f>
        <v>7719.3600000000006</v>
      </c>
    </row>
    <row r="40" spans="1:4" x14ac:dyDescent="0.25">
      <c r="A40" s="57">
        <v>37225</v>
      </c>
      <c r="C40" s="15"/>
      <c r="D40" s="567">
        <v>57061.55</v>
      </c>
    </row>
    <row r="41" spans="1:4" x14ac:dyDescent="0.25">
      <c r="A41" s="57">
        <v>37235</v>
      </c>
      <c r="C41" s="48"/>
      <c r="D41" s="138">
        <f>+D40+D39</f>
        <v>64780.91</v>
      </c>
    </row>
    <row r="44" spans="1:4" x14ac:dyDescent="0.25">
      <c r="A44" s="32" t="s">
        <v>152</v>
      </c>
      <c r="B44" s="32"/>
      <c r="C44" s="32"/>
      <c r="D44" s="32"/>
    </row>
    <row r="45" spans="1:4" x14ac:dyDescent="0.25">
      <c r="A45" s="49">
        <f>+A40</f>
        <v>37225</v>
      </c>
      <c r="B45" s="32"/>
      <c r="C45" s="32"/>
      <c r="D45" s="557">
        <v>42218</v>
      </c>
    </row>
    <row r="46" spans="1:4" x14ac:dyDescent="0.25">
      <c r="A46" s="49">
        <f>+A41</f>
        <v>37235</v>
      </c>
      <c r="B46" s="32"/>
      <c r="C46" s="32"/>
      <c r="D46" s="363">
        <f>+D37</f>
        <v>3784</v>
      </c>
    </row>
    <row r="47" spans="1:4" x14ac:dyDescent="0.25">
      <c r="A47" s="32"/>
      <c r="B47" s="32"/>
      <c r="C47" s="32"/>
      <c r="D47" s="14">
        <f>+D46+D45</f>
        <v>46002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9" workbookViewId="0">
      <selection activeCell="A40" sqref="A40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59" t="s">
        <v>134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5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5">
      <c r="A8" s="10">
        <v>3</v>
      </c>
      <c r="B8" s="11">
        <v>56198</v>
      </c>
      <c r="C8" s="11">
        <v>57327</v>
      </c>
      <c r="D8" s="25">
        <f t="shared" si="0"/>
        <v>1129</v>
      </c>
    </row>
    <row r="9" spans="1:4" x14ac:dyDescent="0.25">
      <c r="A9" s="10">
        <v>4</v>
      </c>
      <c r="B9" s="11">
        <v>39345</v>
      </c>
      <c r="C9" s="11">
        <v>38839</v>
      </c>
      <c r="D9" s="25">
        <f t="shared" si="0"/>
        <v>-506</v>
      </c>
    </row>
    <row r="10" spans="1:4" x14ac:dyDescent="0.25">
      <c r="A10" s="10">
        <v>5</v>
      </c>
      <c r="B10" s="11">
        <v>57736</v>
      </c>
      <c r="C10" s="11">
        <v>57595</v>
      </c>
      <c r="D10" s="25">
        <f t="shared" si="0"/>
        <v>-141</v>
      </c>
    </row>
    <row r="11" spans="1:4" x14ac:dyDescent="0.25">
      <c r="A11" s="10">
        <v>6</v>
      </c>
      <c r="B11" s="11">
        <v>53279</v>
      </c>
      <c r="C11" s="11">
        <v>52981</v>
      </c>
      <c r="D11" s="25">
        <f t="shared" si="0"/>
        <v>-298</v>
      </c>
    </row>
    <row r="12" spans="1:4" x14ac:dyDescent="0.25">
      <c r="A12" s="10">
        <v>7</v>
      </c>
      <c r="B12" s="11">
        <v>49516</v>
      </c>
      <c r="C12" s="11">
        <v>48633</v>
      </c>
      <c r="D12" s="25">
        <f t="shared" si="0"/>
        <v>-883</v>
      </c>
    </row>
    <row r="13" spans="1:4" x14ac:dyDescent="0.25">
      <c r="A13" s="10">
        <v>8</v>
      </c>
      <c r="B13" s="11">
        <v>58091</v>
      </c>
      <c r="C13" s="11">
        <v>56822</v>
      </c>
      <c r="D13" s="25">
        <f t="shared" si="0"/>
        <v>-1269</v>
      </c>
    </row>
    <row r="14" spans="1:4" x14ac:dyDescent="0.25">
      <c r="A14" s="10">
        <v>9</v>
      </c>
      <c r="B14" s="11">
        <v>56234</v>
      </c>
      <c r="C14" s="11">
        <v>59388</v>
      </c>
      <c r="D14" s="25">
        <f t="shared" si="0"/>
        <v>3154</v>
      </c>
    </row>
    <row r="15" spans="1:4" x14ac:dyDescent="0.25">
      <c r="A15" s="10">
        <v>10</v>
      </c>
      <c r="B15" s="11">
        <v>58416</v>
      </c>
      <c r="C15" s="11">
        <v>59388</v>
      </c>
      <c r="D15" s="25">
        <f t="shared" si="0"/>
        <v>972</v>
      </c>
    </row>
    <row r="16" spans="1:4" x14ac:dyDescent="0.25">
      <c r="A16" s="10">
        <v>11</v>
      </c>
      <c r="B16" s="11">
        <v>33275</v>
      </c>
      <c r="C16" s="11">
        <v>41442</v>
      </c>
      <c r="D16" s="25">
        <f t="shared" si="0"/>
        <v>8167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567945</v>
      </c>
      <c r="C37" s="11">
        <f>SUM(C6:C36)</f>
        <v>577585</v>
      </c>
      <c r="D37" s="25">
        <f>SUM(D6:D36)</f>
        <v>9640</v>
      </c>
    </row>
    <row r="38" spans="1:4" x14ac:dyDescent="0.25">
      <c r="A38" s="26"/>
      <c r="C38" s="14"/>
      <c r="D38" s="337">
        <f>+summary!H5</f>
        <v>2.04</v>
      </c>
    </row>
    <row r="39" spans="1:4" x14ac:dyDescent="0.25">
      <c r="D39" s="138">
        <f>+D38*D37</f>
        <v>19665.599999999999</v>
      </c>
    </row>
    <row r="40" spans="1:4" x14ac:dyDescent="0.25">
      <c r="A40" s="57">
        <v>37225</v>
      </c>
      <c r="C40" s="15"/>
      <c r="D40" s="566">
        <v>35912.71</v>
      </c>
    </row>
    <row r="41" spans="1:4" x14ac:dyDescent="0.25">
      <c r="A41" s="57">
        <v>37236</v>
      </c>
      <c r="C41" s="48"/>
      <c r="D41" s="138">
        <f>+D40+D39</f>
        <v>55578.31</v>
      </c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57">
        <v>17122</v>
      </c>
    </row>
    <row r="47" spans="1:4" x14ac:dyDescent="0.25">
      <c r="A47" s="49">
        <f>+A41</f>
        <v>37236</v>
      </c>
      <c r="B47" s="32"/>
      <c r="C47" s="32"/>
      <c r="D47" s="363">
        <f>+D37</f>
        <v>9640</v>
      </c>
    </row>
    <row r="48" spans="1:4" x14ac:dyDescent="0.25">
      <c r="A48" s="32"/>
      <c r="B48" s="32"/>
      <c r="C48" s="32"/>
      <c r="D48" s="14">
        <f>+D47+D46</f>
        <v>26762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C38" sqref="C38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135</v>
      </c>
      <c r="C3" s="87"/>
      <c r="D3" s="87"/>
      <c r="E3" s="87"/>
    </row>
    <row r="4" spans="1:13" x14ac:dyDescent="0.25">
      <c r="A4" s="3"/>
      <c r="B4" s="339" t="s">
        <v>136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5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5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5">
      <c r="A9" s="10">
        <v>4</v>
      </c>
      <c r="B9" s="11">
        <v>-1629</v>
      </c>
      <c r="C9" s="11">
        <v>-1588</v>
      </c>
      <c r="D9" s="25">
        <f t="shared" si="0"/>
        <v>41</v>
      </c>
    </row>
    <row r="10" spans="1:13" x14ac:dyDescent="0.25">
      <c r="A10" s="10">
        <v>5</v>
      </c>
      <c r="B10" s="11">
        <v>-2098</v>
      </c>
      <c r="C10" s="11">
        <v>-1588</v>
      </c>
      <c r="D10" s="25">
        <f t="shared" si="0"/>
        <v>510</v>
      </c>
    </row>
    <row r="11" spans="1:13" x14ac:dyDescent="0.25">
      <c r="A11" s="10">
        <v>6</v>
      </c>
      <c r="B11" s="11">
        <v>-980</v>
      </c>
      <c r="C11" s="11">
        <v>-1588</v>
      </c>
      <c r="D11" s="25">
        <f t="shared" si="0"/>
        <v>-608</v>
      </c>
    </row>
    <row r="12" spans="1:13" x14ac:dyDescent="0.25">
      <c r="A12" s="10">
        <v>7</v>
      </c>
      <c r="B12" s="11">
        <v>-556</v>
      </c>
      <c r="C12" s="11">
        <v>-1588</v>
      </c>
      <c r="D12" s="25">
        <f t="shared" si="0"/>
        <v>-1032</v>
      </c>
    </row>
    <row r="13" spans="1:13" x14ac:dyDescent="0.25">
      <c r="A13" s="10">
        <v>8</v>
      </c>
      <c r="B13" s="11">
        <v>-833</v>
      </c>
      <c r="C13" s="11">
        <v>-1588</v>
      </c>
      <c r="D13" s="25">
        <f t="shared" si="0"/>
        <v>-755</v>
      </c>
      <c r="H13" s="118"/>
      <c r="I13" s="34"/>
      <c r="J13" s="34"/>
      <c r="K13" s="189"/>
      <c r="L13" s="429" t="s">
        <v>181</v>
      </c>
      <c r="M13" s="189"/>
    </row>
    <row r="14" spans="1:13" x14ac:dyDescent="0.25">
      <c r="A14" s="10">
        <v>9</v>
      </c>
      <c r="B14" s="11">
        <v>-2039</v>
      </c>
      <c r="C14" s="11">
        <v>-1588</v>
      </c>
      <c r="D14" s="25">
        <f t="shared" si="0"/>
        <v>451</v>
      </c>
      <c r="H14" s="118" t="s">
        <v>40</v>
      </c>
      <c r="I14" s="430" t="s">
        <v>20</v>
      </c>
      <c r="J14" s="430" t="s">
        <v>21</v>
      </c>
      <c r="K14" s="431" t="s">
        <v>50</v>
      </c>
      <c r="L14" s="429" t="s">
        <v>16</v>
      </c>
      <c r="M14" s="189" t="s">
        <v>28</v>
      </c>
    </row>
    <row r="15" spans="1:13" x14ac:dyDescent="0.25">
      <c r="A15" s="10">
        <v>10</v>
      </c>
      <c r="B15" s="11">
        <v>-1966</v>
      </c>
      <c r="C15" s="11">
        <v>-1588</v>
      </c>
      <c r="D15" s="25">
        <f t="shared" si="0"/>
        <v>378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-2018</v>
      </c>
      <c r="C16" s="11">
        <v>-1588</v>
      </c>
      <c r="D16" s="25">
        <f t="shared" si="0"/>
        <v>430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9">
        <v>8.2100000000000009</v>
      </c>
      <c r="M16" s="434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9">
        <v>5.62</v>
      </c>
      <c r="M17" s="434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9">
        <v>4.9800000000000004</v>
      </c>
      <c r="M18" s="434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9">
        <v>4.87</v>
      </c>
      <c r="M19" s="434">
        <f t="shared" si="2"/>
        <v>63012.93</v>
      </c>
      <c r="O19" s="264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9">
        <v>3.82</v>
      </c>
      <c r="M20" s="434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9">
        <v>3.2</v>
      </c>
      <c r="M21" s="434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9">
        <v>2.77</v>
      </c>
      <c r="M22" s="435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32"/>
      <c r="M23" s="433">
        <f>SUM(M16:M22)</f>
        <v>-353837.81000000006</v>
      </c>
      <c r="O23" s="264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-17136</v>
      </c>
      <c r="C37" s="11">
        <f>SUM(C6:C36)</f>
        <v>-17468</v>
      </c>
      <c r="D37" s="25">
        <f>SUM(D6:D36)</f>
        <v>-332</v>
      </c>
    </row>
    <row r="38" spans="1:4" x14ac:dyDescent="0.25">
      <c r="A38" s="26"/>
      <c r="C38" s="14"/>
      <c r="D38" s="337">
        <f>+summary!H4</f>
        <v>2.02</v>
      </c>
    </row>
    <row r="39" spans="1:4" x14ac:dyDescent="0.25">
      <c r="D39" s="138">
        <f>+D38*D37</f>
        <v>-670.64</v>
      </c>
    </row>
    <row r="40" spans="1:4" x14ac:dyDescent="0.25">
      <c r="A40" s="57">
        <v>37225</v>
      </c>
      <c r="C40" s="15"/>
      <c r="D40" s="567">
        <v>-345354</v>
      </c>
    </row>
    <row r="41" spans="1:4" x14ac:dyDescent="0.25">
      <c r="A41" s="57">
        <v>37236</v>
      </c>
      <c r="C41" s="48"/>
      <c r="D41" s="138">
        <f>+D40+D39</f>
        <v>-346024.64</v>
      </c>
    </row>
    <row r="47" spans="1:4" x14ac:dyDescent="0.25">
      <c r="A47" s="32" t="s">
        <v>152</v>
      </c>
      <c r="B47" s="32"/>
      <c r="C47" s="32"/>
      <c r="D47" s="32"/>
    </row>
    <row r="48" spans="1:4" x14ac:dyDescent="0.25">
      <c r="A48" s="49">
        <f>+A40</f>
        <v>37225</v>
      </c>
      <c r="B48" s="32"/>
      <c r="C48" s="32"/>
      <c r="D48" s="557">
        <v>-39976</v>
      </c>
    </row>
    <row r="49" spans="1:4" x14ac:dyDescent="0.25">
      <c r="A49" s="49">
        <f>+A41</f>
        <v>37236</v>
      </c>
      <c r="B49" s="32"/>
      <c r="C49" s="32"/>
      <c r="D49" s="363">
        <f>+D37</f>
        <v>-332</v>
      </c>
    </row>
    <row r="50" spans="1:4" x14ac:dyDescent="0.25">
      <c r="A50" s="32"/>
      <c r="B50" s="32"/>
      <c r="C50" s="32"/>
      <c r="D50" s="14">
        <f>+D49+D48</f>
        <v>-40308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sqref="A1:IV6553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141</v>
      </c>
      <c r="C3" s="87"/>
      <c r="D3" s="87"/>
    </row>
    <row r="4" spans="1:4" x14ac:dyDescent="0.25">
      <c r="A4" s="3"/>
      <c r="B4" s="339" t="s">
        <v>138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-73</v>
      </c>
      <c r="C6" s="11"/>
      <c r="D6" s="25">
        <f>+C6-B6</f>
        <v>73</v>
      </c>
    </row>
    <row r="7" spans="1:4" x14ac:dyDescent="0.25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5">
      <c r="A8" s="10">
        <v>3</v>
      </c>
      <c r="B8" s="129">
        <v>-52667</v>
      </c>
      <c r="C8" s="11">
        <v>-50314</v>
      </c>
      <c r="D8" s="25">
        <f t="shared" si="0"/>
        <v>2353</v>
      </c>
    </row>
    <row r="9" spans="1:4" x14ac:dyDescent="0.25">
      <c r="A9" s="10">
        <v>4</v>
      </c>
      <c r="B9" s="129">
        <v>-57592</v>
      </c>
      <c r="C9" s="11">
        <v>-52731</v>
      </c>
      <c r="D9" s="25">
        <f t="shared" si="0"/>
        <v>4861</v>
      </c>
    </row>
    <row r="10" spans="1:4" x14ac:dyDescent="0.25">
      <c r="A10" s="10">
        <v>5</v>
      </c>
      <c r="B10" s="129">
        <v>-62974</v>
      </c>
      <c r="C10" s="11">
        <v>-64119</v>
      </c>
      <c r="D10" s="25">
        <f t="shared" si="0"/>
        <v>-1145</v>
      </c>
    </row>
    <row r="11" spans="1:4" x14ac:dyDescent="0.25">
      <c r="A11" s="10">
        <v>6</v>
      </c>
      <c r="B11" s="129">
        <v>-31093</v>
      </c>
      <c r="C11" s="11">
        <v>-29794</v>
      </c>
      <c r="D11" s="25">
        <f t="shared" si="0"/>
        <v>1299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-204456</v>
      </c>
      <c r="C37" s="11">
        <f>SUM(C6:C36)</f>
        <v>-196958</v>
      </c>
      <c r="D37" s="25">
        <f>SUM(D6:D36)</f>
        <v>7498</v>
      </c>
    </row>
    <row r="38" spans="1:4" x14ac:dyDescent="0.25">
      <c r="A38" s="26"/>
      <c r="C38" s="14"/>
      <c r="D38" s="337">
        <f>+summary!H4</f>
        <v>2.02</v>
      </c>
    </row>
    <row r="39" spans="1:4" x14ac:dyDescent="0.25">
      <c r="D39" s="138">
        <f>+D38*D37</f>
        <v>15145.960000000001</v>
      </c>
    </row>
    <row r="40" spans="1:4" x14ac:dyDescent="0.25">
      <c r="A40" s="57">
        <v>37225</v>
      </c>
      <c r="C40" s="15"/>
      <c r="D40" s="567">
        <v>51396</v>
      </c>
    </row>
    <row r="41" spans="1:4" x14ac:dyDescent="0.25">
      <c r="A41" s="57">
        <v>37235</v>
      </c>
      <c r="C41" s="48"/>
      <c r="D41" s="138">
        <f>+D40+D39</f>
        <v>66541.960000000006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57">
        <v>28886</v>
      </c>
    </row>
    <row r="47" spans="1:4" x14ac:dyDescent="0.25">
      <c r="A47" s="49">
        <f>+A41</f>
        <v>37235</v>
      </c>
      <c r="B47" s="32"/>
      <c r="C47" s="32"/>
      <c r="D47" s="363">
        <f>+D37</f>
        <v>7498</v>
      </c>
    </row>
    <row r="48" spans="1:4" x14ac:dyDescent="0.25">
      <c r="A48" s="32"/>
      <c r="B48" s="32"/>
      <c r="C48" s="32"/>
      <c r="D48" s="14">
        <f>+D47+D46</f>
        <v>36384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C8" sqref="C8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137</v>
      </c>
      <c r="B3" s="88"/>
      <c r="C3" s="262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56659</v>
      </c>
      <c r="B5" s="334"/>
      <c r="C5" s="90">
        <v>-1260</v>
      </c>
      <c r="D5" s="90">
        <f>+C5-B5</f>
        <v>-1260</v>
      </c>
      <c r="E5" s="282"/>
      <c r="F5" s="280"/>
    </row>
    <row r="6" spans="1:13" x14ac:dyDescent="0.25">
      <c r="A6" s="87">
        <v>500046</v>
      </c>
      <c r="B6" s="90">
        <v>-2873</v>
      </c>
      <c r="C6" s="90">
        <v>-1631</v>
      </c>
      <c r="D6" s="90">
        <f t="shared" ref="D6:D11" si="0">+C6-B6</f>
        <v>1242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2"/>
      <c r="F7" s="280"/>
      <c r="L7" t="s">
        <v>26</v>
      </c>
      <c r="M7">
        <v>7.6</v>
      </c>
    </row>
    <row r="8" spans="1:13" x14ac:dyDescent="0.25">
      <c r="A8" s="87">
        <v>500134</v>
      </c>
      <c r="B8" s="92">
        <v>-9498</v>
      </c>
      <c r="C8" s="90">
        <v>-14725</v>
      </c>
      <c r="D8" s="90">
        <f t="shared" si="0"/>
        <v>-5227</v>
      </c>
      <c r="E8" s="282"/>
      <c r="F8" s="280"/>
    </row>
    <row r="9" spans="1:13" x14ac:dyDescent="0.25">
      <c r="A9" s="87">
        <v>500528</v>
      </c>
      <c r="B9" s="92"/>
      <c r="C9" s="90"/>
      <c r="D9" s="90">
        <f t="shared" si="0"/>
        <v>0</v>
      </c>
      <c r="E9" s="282"/>
      <c r="F9" s="280"/>
    </row>
    <row r="10" spans="1:13" x14ac:dyDescent="0.25">
      <c r="A10" s="87">
        <v>500529</v>
      </c>
      <c r="B10" s="90"/>
      <c r="C10" s="315"/>
      <c r="D10" s="90">
        <f t="shared" si="0"/>
        <v>0</v>
      </c>
      <c r="E10" s="282"/>
      <c r="F10" s="280"/>
    </row>
    <row r="11" spans="1:13" x14ac:dyDescent="0.25">
      <c r="A11" s="87">
        <v>500619</v>
      </c>
      <c r="B11" s="315"/>
      <c r="C11" s="90"/>
      <c r="D11" s="345">
        <f t="shared" si="0"/>
        <v>0</v>
      </c>
      <c r="E11" s="282"/>
      <c r="F11" s="280"/>
    </row>
    <row r="12" spans="1:13" x14ac:dyDescent="0.25">
      <c r="A12" s="87"/>
      <c r="B12" s="88"/>
      <c r="C12" s="88"/>
      <c r="D12" s="88">
        <f>SUM(D5:D11)</f>
        <v>-5245</v>
      </c>
      <c r="E12" s="282"/>
      <c r="F12" s="280"/>
    </row>
    <row r="13" spans="1:13" x14ac:dyDescent="0.25">
      <c r="A13" s="87" t="s">
        <v>82</v>
      </c>
      <c r="B13" s="88"/>
      <c r="C13" s="88"/>
      <c r="D13" s="95">
        <f>+summary!H4</f>
        <v>2.02</v>
      </c>
      <c r="E13" s="284"/>
      <c r="F13" s="280"/>
    </row>
    <row r="14" spans="1:13" x14ac:dyDescent="0.25">
      <c r="A14" s="87"/>
      <c r="B14" s="88"/>
      <c r="C14" s="88"/>
      <c r="D14" s="96">
        <f>+D13*D12</f>
        <v>-10594.9</v>
      </c>
      <c r="E14" s="209"/>
      <c r="F14" s="281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37225</v>
      </c>
      <c r="B16" s="88"/>
      <c r="C16" s="88"/>
      <c r="D16" s="564">
        <v>-510924.54</v>
      </c>
      <c r="E16" s="209"/>
      <c r="F16" s="66"/>
    </row>
    <row r="17" spans="1:7" x14ac:dyDescent="0.25">
      <c r="A17" s="87"/>
      <c r="B17" s="88"/>
      <c r="C17" s="88"/>
      <c r="D17" s="318"/>
      <c r="E17" s="209"/>
      <c r="F17" s="66"/>
    </row>
    <row r="18" spans="1:7" ht="13.8" thickBot="1" x14ac:dyDescent="0.3">
      <c r="A18" s="99">
        <v>37235</v>
      </c>
      <c r="B18" s="88"/>
      <c r="C18" s="88"/>
      <c r="D18" s="329">
        <f>+D16+D14</f>
        <v>-521519.44</v>
      </c>
      <c r="E18" s="209"/>
      <c r="F18" s="66"/>
    </row>
    <row r="19" spans="1:7" ht="13.8" thickTop="1" x14ac:dyDescent="0.25">
      <c r="E19" s="285"/>
    </row>
    <row r="21" spans="1:7" x14ac:dyDescent="0.25">
      <c r="A21" s="32" t="s">
        <v>152</v>
      </c>
      <c r="B21" s="32"/>
      <c r="C21" s="32"/>
      <c r="D21" s="32"/>
    </row>
    <row r="22" spans="1:7" x14ac:dyDescent="0.25">
      <c r="A22" s="49">
        <f>+A16</f>
        <v>37225</v>
      </c>
      <c r="B22" s="32"/>
      <c r="C22" s="32"/>
      <c r="D22" s="557">
        <v>-24926</v>
      </c>
    </row>
    <row r="23" spans="1:7" x14ac:dyDescent="0.25">
      <c r="A23" s="49">
        <f>+A18</f>
        <v>37235</v>
      </c>
      <c r="B23" s="32"/>
      <c r="C23" s="32"/>
      <c r="D23" s="363">
        <f>+D12</f>
        <v>-5245</v>
      </c>
    </row>
    <row r="24" spans="1:7" x14ac:dyDescent="0.25">
      <c r="A24" s="32"/>
      <c r="B24" s="32"/>
      <c r="C24" s="32"/>
      <c r="D24" s="14">
        <f>+D23+D22</f>
        <v>-30171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topLeftCell="A24" workbookViewId="0">
      <selection activeCell="C40" sqref="C40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143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>
        <v>-7000</v>
      </c>
      <c r="D6" s="25">
        <f>+C6-B6</f>
        <v>-7000</v>
      </c>
    </row>
    <row r="7" spans="1:4" x14ac:dyDescent="0.25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5">
      <c r="A8" s="10">
        <v>3</v>
      </c>
      <c r="B8" s="11">
        <v>-20568</v>
      </c>
      <c r="C8" s="11">
        <v>-4786</v>
      </c>
      <c r="D8" s="25">
        <f t="shared" si="0"/>
        <v>15782</v>
      </c>
    </row>
    <row r="9" spans="1:4" x14ac:dyDescent="0.25">
      <c r="A9" s="10">
        <v>4</v>
      </c>
      <c r="B9" s="11">
        <v>-6999</v>
      </c>
      <c r="C9" s="11">
        <v>-10000</v>
      </c>
      <c r="D9" s="25">
        <f t="shared" si="0"/>
        <v>-3001</v>
      </c>
    </row>
    <row r="10" spans="1:4" x14ac:dyDescent="0.25">
      <c r="A10" s="10">
        <v>5</v>
      </c>
      <c r="B10" s="11">
        <v>-5845</v>
      </c>
      <c r="C10" s="11">
        <v>-10000</v>
      </c>
      <c r="D10" s="25">
        <f t="shared" si="0"/>
        <v>-4155</v>
      </c>
    </row>
    <row r="11" spans="1:4" x14ac:dyDescent="0.25">
      <c r="A11" s="10">
        <v>6</v>
      </c>
      <c r="B11" s="11">
        <v>-8331</v>
      </c>
      <c r="C11" s="11">
        <v>-10000</v>
      </c>
      <c r="D11" s="25">
        <f t="shared" si="0"/>
        <v>-1669</v>
      </c>
    </row>
    <row r="12" spans="1:4" x14ac:dyDescent="0.25">
      <c r="A12" s="10">
        <v>7</v>
      </c>
      <c r="B12" s="11">
        <v>-8430</v>
      </c>
      <c r="C12" s="11">
        <v>-10000</v>
      </c>
      <c r="D12" s="25">
        <f t="shared" si="0"/>
        <v>-1570</v>
      </c>
    </row>
    <row r="13" spans="1:4" x14ac:dyDescent="0.25">
      <c r="A13" s="10">
        <v>8</v>
      </c>
      <c r="B13" s="11">
        <v>-35058</v>
      </c>
      <c r="C13" s="11">
        <v>-17270</v>
      </c>
      <c r="D13" s="25">
        <f t="shared" si="0"/>
        <v>17788</v>
      </c>
    </row>
    <row r="14" spans="1:4" x14ac:dyDescent="0.25">
      <c r="A14" s="10">
        <v>9</v>
      </c>
      <c r="B14" s="11">
        <v>-565</v>
      </c>
      <c r="C14" s="11">
        <v>-17270</v>
      </c>
      <c r="D14" s="25">
        <f t="shared" si="0"/>
        <v>-16705</v>
      </c>
    </row>
    <row r="15" spans="1:4" x14ac:dyDescent="0.25">
      <c r="A15" s="10">
        <v>10</v>
      </c>
      <c r="B15" s="11">
        <v>-7231</v>
      </c>
      <c r="C15" s="11">
        <v>-17270</v>
      </c>
      <c r="D15" s="25">
        <f t="shared" si="0"/>
        <v>-10039</v>
      </c>
    </row>
    <row r="16" spans="1:4" x14ac:dyDescent="0.25">
      <c r="A16" s="10">
        <v>11</v>
      </c>
      <c r="B16" s="11">
        <v>-8566</v>
      </c>
      <c r="C16" s="11">
        <v>-2270</v>
      </c>
      <c r="D16" s="25">
        <f t="shared" si="0"/>
        <v>6296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6" x14ac:dyDescent="0.25">
      <c r="A33" s="10">
        <v>28</v>
      </c>
      <c r="B33" s="11"/>
      <c r="C33" s="11"/>
      <c r="D33" s="25">
        <f t="shared" si="0"/>
        <v>0</v>
      </c>
    </row>
    <row r="34" spans="1:6" x14ac:dyDescent="0.25">
      <c r="A34" s="10">
        <v>29</v>
      </c>
      <c r="B34" s="11"/>
      <c r="C34" s="11"/>
      <c r="D34" s="25">
        <f t="shared" si="0"/>
        <v>0</v>
      </c>
    </row>
    <row r="35" spans="1:6" x14ac:dyDescent="0.25">
      <c r="A35" s="10">
        <v>30</v>
      </c>
      <c r="B35" s="11"/>
      <c r="C35" s="11"/>
      <c r="D35" s="25">
        <f t="shared" si="0"/>
        <v>0</v>
      </c>
    </row>
    <row r="36" spans="1:6" x14ac:dyDescent="0.25">
      <c r="A36" s="10">
        <v>31</v>
      </c>
      <c r="B36" s="11"/>
      <c r="C36" s="11"/>
      <c r="D36" s="25">
        <f t="shared" si="0"/>
        <v>0</v>
      </c>
    </row>
    <row r="37" spans="1:6" x14ac:dyDescent="0.25">
      <c r="A37" s="10"/>
      <c r="B37" s="11">
        <f>SUM(B6:B36)</f>
        <v>-101593</v>
      </c>
      <c r="C37" s="11">
        <f>SUM(C6:C36)</f>
        <v>-110652</v>
      </c>
      <c r="D37" s="25">
        <f>SUM(D6:D36)</f>
        <v>-9059</v>
      </c>
    </row>
    <row r="38" spans="1:6" x14ac:dyDescent="0.25">
      <c r="A38" s="26"/>
      <c r="C38" s="14"/>
      <c r="D38" s="350"/>
    </row>
    <row r="39" spans="1:6" x14ac:dyDescent="0.25">
      <c r="D39" s="138"/>
    </row>
    <row r="40" spans="1:6" x14ac:dyDescent="0.25">
      <c r="A40" s="57">
        <v>37225</v>
      </c>
      <c r="C40" s="15"/>
      <c r="D40" s="505">
        <f>-23051+9445</f>
        <v>-13606</v>
      </c>
    </row>
    <row r="41" spans="1:6" x14ac:dyDescent="0.25">
      <c r="A41" s="57">
        <v>37236</v>
      </c>
      <c r="C41" s="48"/>
      <c r="D41" s="25">
        <f>+D40+D37</f>
        <v>-22665</v>
      </c>
      <c r="E41">
        <v>2.12</v>
      </c>
      <c r="F41">
        <f>+E41*D41</f>
        <v>-48049.8</v>
      </c>
    </row>
    <row r="44" spans="1:6" x14ac:dyDescent="0.25">
      <c r="A44" s="32" t="s">
        <v>153</v>
      </c>
      <c r="B44" s="32"/>
      <c r="C44" s="32"/>
      <c r="D44" s="47"/>
    </row>
    <row r="45" spans="1:6" x14ac:dyDescent="0.25">
      <c r="A45" s="49">
        <f>+A40</f>
        <v>37225</v>
      </c>
      <c r="B45" s="32"/>
      <c r="C45" s="32"/>
      <c r="D45" s="514">
        <v>159102</v>
      </c>
    </row>
    <row r="46" spans="1:6" x14ac:dyDescent="0.25">
      <c r="A46" s="49">
        <f>+A41</f>
        <v>37236</v>
      </c>
      <c r="B46" s="32"/>
      <c r="C46" s="32"/>
      <c r="D46" s="390">
        <f>+D37*'by type_area'!J4</f>
        <v>-18299.18</v>
      </c>
    </row>
    <row r="47" spans="1:6" x14ac:dyDescent="0.25">
      <c r="A47" s="32"/>
      <c r="B47" s="32"/>
      <c r="C47" s="32"/>
      <c r="D47" s="202">
        <f>+D46+D45</f>
        <v>140802.82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D46" sqref="D4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253</v>
      </c>
      <c r="C3" s="87"/>
      <c r="D3" s="87"/>
    </row>
    <row r="4" spans="1:4" x14ac:dyDescent="0.25">
      <c r="A4" s="3"/>
      <c r="B4" s="339" t="s">
        <v>252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37">
        <f>+summary!H5</f>
        <v>2.04</v>
      </c>
    </row>
    <row r="39" spans="1:4" x14ac:dyDescent="0.25">
      <c r="D39" s="138">
        <f>+D38*D37</f>
        <v>0</v>
      </c>
    </row>
    <row r="40" spans="1:4" x14ac:dyDescent="0.25">
      <c r="A40" s="57">
        <v>37225</v>
      </c>
      <c r="C40" s="15"/>
      <c r="D40" s="567">
        <v>-195699.5</v>
      </c>
    </row>
    <row r="41" spans="1:4" x14ac:dyDescent="0.25">
      <c r="A41" s="57">
        <v>37225</v>
      </c>
      <c r="C41" s="48"/>
      <c r="D41" s="138">
        <f>+D40+D39</f>
        <v>-195699.5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57">
        <v>-47898</v>
      </c>
    </row>
    <row r="47" spans="1:4" x14ac:dyDescent="0.25">
      <c r="A47" s="49">
        <f>+A41</f>
        <v>37225</v>
      </c>
      <c r="B47" s="32"/>
      <c r="C47" s="32"/>
      <c r="D47" s="510">
        <f>+D37</f>
        <v>0</v>
      </c>
    </row>
    <row r="48" spans="1:4" x14ac:dyDescent="0.25">
      <c r="A48" s="32"/>
      <c r="B48" s="32"/>
      <c r="C48" s="32"/>
      <c r="D48" s="14">
        <f>+D47+D46</f>
        <v>-47898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sqref="A1:IV65536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512" t="s">
        <v>254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213</v>
      </c>
      <c r="C4" s="4"/>
      <c r="D4" s="38" t="s">
        <v>214</v>
      </c>
      <c r="E4" s="4"/>
      <c r="F4" s="38" t="s">
        <v>215</v>
      </c>
      <c r="G4" s="4"/>
      <c r="H4" s="38" t="s">
        <v>216</v>
      </c>
      <c r="I4" s="4"/>
      <c r="J4" s="4"/>
    </row>
    <row r="5" spans="1:33" x14ac:dyDescent="0.25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>
        <v>-2</v>
      </c>
      <c r="J6" s="11">
        <f>+I6+G6+E6+C6-H6-F6-D6-B6</f>
        <v>-268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>
        <v>-2</v>
      </c>
      <c r="J7" s="11">
        <f t="shared" ref="J7:J36" si="0">+I7+G7+E7+C7-H7-F7-D7-B7</f>
        <v>-373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>
        <v>-2</v>
      </c>
      <c r="J8" s="11">
        <f t="shared" si="0"/>
        <v>-564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-51</v>
      </c>
      <c r="C9" s="11">
        <v>-150</v>
      </c>
      <c r="D9" s="11"/>
      <c r="E9" s="11"/>
      <c r="F9" s="11">
        <v>-477</v>
      </c>
      <c r="G9" s="11">
        <v>-1001</v>
      </c>
      <c r="H9" s="11"/>
      <c r="I9" s="11">
        <v>-2</v>
      </c>
      <c r="J9" s="11">
        <f t="shared" si="0"/>
        <v>-625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-79</v>
      </c>
      <c r="C10" s="11">
        <v>-150</v>
      </c>
      <c r="D10" s="129"/>
      <c r="E10" s="11"/>
      <c r="F10" s="11">
        <v>-615</v>
      </c>
      <c r="G10" s="11">
        <v>-1001</v>
      </c>
      <c r="H10" s="11"/>
      <c r="I10" s="11">
        <v>-2</v>
      </c>
      <c r="J10" s="11">
        <f t="shared" si="0"/>
        <v>-459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-85</v>
      </c>
      <c r="C11" s="11">
        <v>-150</v>
      </c>
      <c r="D11" s="11"/>
      <c r="E11" s="11"/>
      <c r="F11" s="11">
        <v>-674</v>
      </c>
      <c r="G11" s="11">
        <v>-1001</v>
      </c>
      <c r="H11" s="11"/>
      <c r="I11" s="11">
        <v>-2</v>
      </c>
      <c r="J11" s="11">
        <f t="shared" si="0"/>
        <v>-394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-106</v>
      </c>
      <c r="C12" s="11">
        <v>-150</v>
      </c>
      <c r="D12" s="129"/>
      <c r="E12" s="11"/>
      <c r="F12" s="11">
        <v>-853</v>
      </c>
      <c r="G12" s="11">
        <v>-1001</v>
      </c>
      <c r="H12" s="11"/>
      <c r="I12" s="11">
        <v>-2</v>
      </c>
      <c r="J12" s="11">
        <f t="shared" si="0"/>
        <v>-194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-131</v>
      </c>
      <c r="C13" s="11">
        <v>-150</v>
      </c>
      <c r="D13" s="11"/>
      <c r="E13" s="11"/>
      <c r="F13" s="11">
        <v>-1087</v>
      </c>
      <c r="G13" s="11">
        <v>-1001</v>
      </c>
      <c r="H13" s="11"/>
      <c r="I13" s="11">
        <v>-2</v>
      </c>
      <c r="J13" s="11">
        <f t="shared" si="0"/>
        <v>65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-700</v>
      </c>
      <c r="C37" s="11">
        <f t="shared" ref="C37:I37" si="1">SUM(C6:C36)</f>
        <v>-1200</v>
      </c>
      <c r="D37" s="11">
        <f t="shared" si="1"/>
        <v>0</v>
      </c>
      <c r="E37" s="11">
        <f t="shared" si="1"/>
        <v>0</v>
      </c>
      <c r="F37" s="11">
        <f t="shared" si="1"/>
        <v>-5712</v>
      </c>
      <c r="G37" s="11">
        <f t="shared" si="1"/>
        <v>-8008</v>
      </c>
      <c r="H37" s="11">
        <f t="shared" si="1"/>
        <v>0</v>
      </c>
      <c r="I37" s="11">
        <f t="shared" si="1"/>
        <v>-16</v>
      </c>
      <c r="J37" s="11">
        <f>SUM(J6:J36)</f>
        <v>-2812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+summary!H4</f>
        <v>2.02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-5680.24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50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37225</v>
      </c>
      <c r="C41" s="25"/>
      <c r="E41" s="25"/>
      <c r="G41" s="25"/>
      <c r="I41" s="25"/>
      <c r="J41" s="556">
        <v>-40029.08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30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37233</v>
      </c>
      <c r="J43" s="330">
        <f>+J41+J39</f>
        <v>-45709.32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50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37225</v>
      </c>
      <c r="B48" s="32"/>
      <c r="C48" s="32"/>
      <c r="D48" s="557">
        <v>-5429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37233</v>
      </c>
      <c r="B49" s="32"/>
      <c r="C49" s="32"/>
      <c r="D49" s="363">
        <f>+J37</f>
        <v>-2812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-8241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319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321</v>
      </c>
      <c r="C4" s="4"/>
      <c r="D4" s="38" t="s">
        <v>322</v>
      </c>
      <c r="E4" s="4"/>
      <c r="F4" s="38" t="s">
        <v>323</v>
      </c>
      <c r="G4" s="4"/>
      <c r="H4" s="38" t="s">
        <v>324</v>
      </c>
      <c r="I4" s="4"/>
      <c r="J4" s="38" t="s">
        <v>325</v>
      </c>
      <c r="K4" s="4"/>
      <c r="L4" s="38" t="s">
        <v>326</v>
      </c>
      <c r="M4" s="4"/>
      <c r="N4" s="4"/>
    </row>
    <row r="5" spans="1:37" x14ac:dyDescent="0.25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581">
        <v>-125</v>
      </c>
      <c r="C6" s="11">
        <v>-125</v>
      </c>
      <c r="D6" s="581">
        <v>-1</v>
      </c>
      <c r="E6" s="11">
        <v>-1</v>
      </c>
      <c r="F6" s="581">
        <v>-90</v>
      </c>
      <c r="G6" s="11">
        <v>-90</v>
      </c>
      <c r="H6" s="581">
        <v>-2</v>
      </c>
      <c r="I6" s="11">
        <v>-2</v>
      </c>
      <c r="J6" s="581">
        <v>-40</v>
      </c>
      <c r="K6" s="11">
        <v>-40</v>
      </c>
      <c r="L6" s="11">
        <v>-316</v>
      </c>
      <c r="M6" s="11">
        <v>-260</v>
      </c>
      <c r="N6" s="11">
        <f>+M6+K6+I6+G6+E6+C6-L6-J6-H6-F6-D6-B6</f>
        <v>56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581">
        <v>-125</v>
      </c>
      <c r="C7" s="11">
        <v>-125</v>
      </c>
      <c r="D7" s="581">
        <v>-1</v>
      </c>
      <c r="E7" s="11">
        <v>-1</v>
      </c>
      <c r="F7" s="581">
        <v>-90</v>
      </c>
      <c r="G7" s="11">
        <v>-90</v>
      </c>
      <c r="H7" s="581">
        <v>-2</v>
      </c>
      <c r="I7" s="11">
        <v>-2</v>
      </c>
      <c r="J7" s="581">
        <v>-40</v>
      </c>
      <c r="K7" s="11">
        <v>-40</v>
      </c>
      <c r="L7" s="11">
        <v>-544</v>
      </c>
      <c r="M7" s="11">
        <v>-260</v>
      </c>
      <c r="N7" s="11">
        <f t="shared" ref="N7:N36" si="0">+M7+K7+I7+G7+E7+C7-L7-J7-H7-F7-D7-B7</f>
        <v>284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581">
        <v>-125</v>
      </c>
      <c r="C8" s="11">
        <v>-125</v>
      </c>
      <c r="D8" s="581">
        <v>-1</v>
      </c>
      <c r="E8" s="11">
        <v>-1</v>
      </c>
      <c r="F8" s="581">
        <v>-90</v>
      </c>
      <c r="G8" s="11">
        <v>-90</v>
      </c>
      <c r="H8" s="581">
        <v>-2</v>
      </c>
      <c r="I8" s="11">
        <v>-2</v>
      </c>
      <c r="J8" s="581">
        <v>-40</v>
      </c>
      <c r="K8" s="11">
        <v>-40</v>
      </c>
      <c r="L8" s="11">
        <v>-307</v>
      </c>
      <c r="M8" s="11">
        <v>-260</v>
      </c>
      <c r="N8" s="11">
        <f t="shared" si="0"/>
        <v>47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581">
        <v>-125</v>
      </c>
      <c r="C9" s="11">
        <v>-125</v>
      </c>
      <c r="D9" s="581">
        <v>-1</v>
      </c>
      <c r="E9" s="11">
        <v>-1</v>
      </c>
      <c r="F9" s="581">
        <v>-90</v>
      </c>
      <c r="G9" s="11">
        <v>-90</v>
      </c>
      <c r="H9" s="581">
        <v>-2</v>
      </c>
      <c r="I9" s="11">
        <v>-2</v>
      </c>
      <c r="J9" s="581">
        <v>-40</v>
      </c>
      <c r="K9" s="11">
        <v>-40</v>
      </c>
      <c r="L9" s="11">
        <v>-634</v>
      </c>
      <c r="M9" s="11">
        <v>-260</v>
      </c>
      <c r="N9" s="11">
        <f t="shared" si="0"/>
        <v>374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581">
        <v>-125</v>
      </c>
      <c r="C10" s="11">
        <v>-125</v>
      </c>
      <c r="D10" s="581">
        <v>-1</v>
      </c>
      <c r="E10" s="11">
        <v>-1</v>
      </c>
      <c r="F10" s="581">
        <v>-90</v>
      </c>
      <c r="G10" s="11">
        <v>-90</v>
      </c>
      <c r="H10" s="581">
        <v>-2</v>
      </c>
      <c r="I10" s="11">
        <v>-2</v>
      </c>
      <c r="J10" s="581">
        <v>-40</v>
      </c>
      <c r="K10" s="11">
        <v>-40</v>
      </c>
      <c r="L10" s="11">
        <v>-440</v>
      </c>
      <c r="M10" s="11">
        <v>-260</v>
      </c>
      <c r="N10" s="11">
        <f t="shared" si="0"/>
        <v>180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581">
        <v>-125</v>
      </c>
      <c r="C11" s="11">
        <v>-125</v>
      </c>
      <c r="D11" s="581">
        <v>-1</v>
      </c>
      <c r="E11" s="11">
        <v>-1</v>
      </c>
      <c r="F11" s="581">
        <v>-90</v>
      </c>
      <c r="G11" s="11">
        <v>-90</v>
      </c>
      <c r="H11" s="581">
        <v>-2</v>
      </c>
      <c r="I11" s="11">
        <v>-2</v>
      </c>
      <c r="J11" s="581">
        <v>-40</v>
      </c>
      <c r="K11" s="11">
        <v>-40</v>
      </c>
      <c r="L11" s="11">
        <v>-143</v>
      </c>
      <c r="M11" s="11">
        <v>-260</v>
      </c>
      <c r="N11" s="11">
        <f t="shared" si="0"/>
        <v>-117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581">
        <v>-125</v>
      </c>
      <c r="C12" s="11">
        <v>-125</v>
      </c>
      <c r="D12" s="581">
        <v>-1</v>
      </c>
      <c r="E12" s="11">
        <v>-1</v>
      </c>
      <c r="F12" s="581">
        <v>-90</v>
      </c>
      <c r="G12" s="11">
        <v>-90</v>
      </c>
      <c r="H12" s="581">
        <v>-2</v>
      </c>
      <c r="I12" s="11">
        <v>-2</v>
      </c>
      <c r="J12" s="581">
        <v>-40</v>
      </c>
      <c r="K12" s="11">
        <v>-40</v>
      </c>
      <c r="L12" s="11">
        <v>-372</v>
      </c>
      <c r="M12" s="11">
        <v>-260</v>
      </c>
      <c r="N12" s="11">
        <f t="shared" si="0"/>
        <v>112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581">
        <v>-125</v>
      </c>
      <c r="C13" s="11">
        <v>-125</v>
      </c>
      <c r="D13" s="581">
        <v>-1</v>
      </c>
      <c r="E13" s="11">
        <v>-1</v>
      </c>
      <c r="F13" s="581">
        <v>-90</v>
      </c>
      <c r="G13" s="11">
        <v>-90</v>
      </c>
      <c r="H13" s="581">
        <v>-2</v>
      </c>
      <c r="I13" s="11">
        <v>-2</v>
      </c>
      <c r="J13" s="581">
        <v>-40</v>
      </c>
      <c r="K13" s="11">
        <v>-40</v>
      </c>
      <c r="L13" s="11">
        <v>-1467</v>
      </c>
      <c r="M13" s="11">
        <v>-260</v>
      </c>
      <c r="N13" s="11">
        <f t="shared" si="0"/>
        <v>1207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581">
        <v>-125</v>
      </c>
      <c r="C14" s="11">
        <v>-125</v>
      </c>
      <c r="D14" s="581">
        <v>-1</v>
      </c>
      <c r="E14" s="11">
        <v>-1</v>
      </c>
      <c r="F14" s="581">
        <v>-90</v>
      </c>
      <c r="G14" s="11">
        <v>-90</v>
      </c>
      <c r="H14" s="581">
        <v>-2</v>
      </c>
      <c r="I14" s="11">
        <v>-2</v>
      </c>
      <c r="J14" s="581">
        <v>-40</v>
      </c>
      <c r="K14" s="11">
        <v>-40</v>
      </c>
      <c r="L14" s="11">
        <v>-54</v>
      </c>
      <c r="M14" s="11">
        <v>-260</v>
      </c>
      <c r="N14" s="11">
        <f t="shared" si="0"/>
        <v>-206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581">
        <v>-125</v>
      </c>
      <c r="C15" s="11">
        <v>-125</v>
      </c>
      <c r="D15" s="581">
        <v>-1</v>
      </c>
      <c r="E15" s="11">
        <v>-1</v>
      </c>
      <c r="F15" s="581">
        <v>-90</v>
      </c>
      <c r="G15" s="11">
        <v>-90</v>
      </c>
      <c r="H15" s="581">
        <v>-2</v>
      </c>
      <c r="I15" s="11">
        <v>-2</v>
      </c>
      <c r="J15" s="581">
        <v>-40</v>
      </c>
      <c r="K15" s="11">
        <v>-40</v>
      </c>
      <c r="L15" s="11">
        <v>-671</v>
      </c>
      <c r="M15" s="11">
        <v>-260</v>
      </c>
      <c r="N15" s="11">
        <f t="shared" si="0"/>
        <v>411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f t="shared" si="0"/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f t="shared" si="0"/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>
        <f t="shared" si="0"/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>
        <f t="shared" si="0"/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>
        <f t="shared" si="0"/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-1250</v>
      </c>
      <c r="C37" s="11">
        <f t="shared" ref="C37:N37" si="1">SUM(C6:C36)</f>
        <v>-1250</v>
      </c>
      <c r="D37" s="11">
        <f t="shared" si="1"/>
        <v>-10</v>
      </c>
      <c r="E37" s="11">
        <f t="shared" si="1"/>
        <v>-10</v>
      </c>
      <c r="F37" s="11">
        <f t="shared" si="1"/>
        <v>-900</v>
      </c>
      <c r="G37" s="11">
        <f t="shared" si="1"/>
        <v>-900</v>
      </c>
      <c r="H37" s="11">
        <f t="shared" si="1"/>
        <v>-20</v>
      </c>
      <c r="I37" s="11">
        <f t="shared" si="1"/>
        <v>-20</v>
      </c>
      <c r="J37" s="11">
        <f>SUM(J6:J36)</f>
        <v>-400</v>
      </c>
      <c r="K37" s="11">
        <f>SUM(K6:K36)</f>
        <v>-400</v>
      </c>
      <c r="L37" s="11">
        <f>SUM(L6:L36)</f>
        <v>-4948</v>
      </c>
      <c r="M37" s="11">
        <f>SUM(M6:M36)</f>
        <v>-2600</v>
      </c>
      <c r="N37" s="11">
        <f t="shared" si="1"/>
        <v>2348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+summary!H4</f>
        <v>2.02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4742.96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50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37225</v>
      </c>
      <c r="C41" s="25"/>
      <c r="E41" s="25"/>
      <c r="G41" s="25"/>
      <c r="I41" s="25"/>
      <c r="K41" s="25"/>
      <c r="M41" s="25"/>
      <c r="N41" s="556">
        <v>28367.49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30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37235</v>
      </c>
      <c r="N43" s="330">
        <f>+N41+N39</f>
        <v>33110.450000000004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50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37225</v>
      </c>
      <c r="B48" s="32"/>
      <c r="C48" s="32"/>
      <c r="D48" s="557">
        <v>10205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37235</v>
      </c>
      <c r="B49" s="32"/>
      <c r="C49" s="32"/>
      <c r="D49" s="363">
        <f>+N37</f>
        <v>2348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12553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D40" sqref="D4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218</v>
      </c>
      <c r="C3" s="87"/>
      <c r="D3" s="87"/>
    </row>
    <row r="4" spans="1:4" x14ac:dyDescent="0.25">
      <c r="A4" s="3"/>
      <c r="B4" s="339" t="s">
        <v>219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5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5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5">
      <c r="A9" s="10">
        <v>4</v>
      </c>
      <c r="B9" s="129">
        <v>2</v>
      </c>
      <c r="C9" s="11">
        <v>240</v>
      </c>
      <c r="D9" s="25">
        <f t="shared" si="0"/>
        <v>238</v>
      </c>
    </row>
    <row r="10" spans="1:4" x14ac:dyDescent="0.25">
      <c r="A10" s="10">
        <v>5</v>
      </c>
      <c r="B10" s="129">
        <v>35</v>
      </c>
      <c r="C10" s="11">
        <v>240</v>
      </c>
      <c r="D10" s="25">
        <f t="shared" si="0"/>
        <v>205</v>
      </c>
    </row>
    <row r="11" spans="1:4" x14ac:dyDescent="0.25">
      <c r="A11" s="10">
        <v>6</v>
      </c>
      <c r="B11" s="129">
        <v>41</v>
      </c>
      <c r="C11" s="11">
        <v>240</v>
      </c>
      <c r="D11" s="25">
        <f t="shared" si="0"/>
        <v>199</v>
      </c>
    </row>
    <row r="12" spans="1:4" x14ac:dyDescent="0.25">
      <c r="A12" s="10">
        <v>7</v>
      </c>
      <c r="B12" s="129">
        <v>245</v>
      </c>
      <c r="C12" s="11">
        <v>240</v>
      </c>
      <c r="D12" s="25">
        <f t="shared" si="0"/>
        <v>-5</v>
      </c>
    </row>
    <row r="13" spans="1:4" x14ac:dyDescent="0.25">
      <c r="A13" s="10">
        <v>8</v>
      </c>
      <c r="B13" s="11">
        <v>171</v>
      </c>
      <c r="C13" s="11">
        <v>240</v>
      </c>
      <c r="D13" s="25">
        <f t="shared" si="0"/>
        <v>69</v>
      </c>
    </row>
    <row r="14" spans="1:4" x14ac:dyDescent="0.25">
      <c r="A14" s="10">
        <v>9</v>
      </c>
      <c r="B14" s="11">
        <v>114</v>
      </c>
      <c r="C14" s="11">
        <v>240</v>
      </c>
      <c r="D14" s="25">
        <f t="shared" si="0"/>
        <v>126</v>
      </c>
    </row>
    <row r="15" spans="1:4" x14ac:dyDescent="0.25">
      <c r="A15" s="10">
        <v>10</v>
      </c>
      <c r="B15" s="11">
        <v>149</v>
      </c>
      <c r="C15" s="11">
        <v>240</v>
      </c>
      <c r="D15" s="25">
        <f t="shared" si="0"/>
        <v>91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974</v>
      </c>
      <c r="C37" s="11">
        <f>SUM(C6:C36)</f>
        <v>2400</v>
      </c>
      <c r="D37" s="25">
        <f>SUM(D6:D36)</f>
        <v>1426</v>
      </c>
    </row>
    <row r="38" spans="1:4" x14ac:dyDescent="0.25">
      <c r="A38" s="26"/>
      <c r="C38" s="14"/>
      <c r="D38" s="337">
        <f>+summary!H5</f>
        <v>2.04</v>
      </c>
    </row>
    <row r="39" spans="1:4" x14ac:dyDescent="0.25">
      <c r="D39" s="138">
        <f>+D38*D37</f>
        <v>2909.04</v>
      </c>
    </row>
    <row r="40" spans="1:4" x14ac:dyDescent="0.25">
      <c r="A40" s="57">
        <v>37225</v>
      </c>
      <c r="C40" s="15"/>
      <c r="D40" s="567">
        <v>173805.23</v>
      </c>
    </row>
    <row r="41" spans="1:4" x14ac:dyDescent="0.25">
      <c r="A41" s="57">
        <v>37235</v>
      </c>
      <c r="C41" s="48"/>
      <c r="D41" s="138">
        <f>+D40+D39</f>
        <v>176714.27000000002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57">
        <v>76238</v>
      </c>
    </row>
    <row r="47" spans="1:4" x14ac:dyDescent="0.25">
      <c r="A47" s="49">
        <f>+A41</f>
        <v>37235</v>
      </c>
      <c r="B47" s="32"/>
      <c r="C47" s="32"/>
      <c r="D47" s="363">
        <f>+D37</f>
        <v>1426</v>
      </c>
    </row>
    <row r="48" spans="1:4" x14ac:dyDescent="0.25">
      <c r="A48" s="32"/>
      <c r="B48" s="32"/>
      <c r="C48" s="32"/>
      <c r="D48" s="14">
        <f>+D47+D46</f>
        <v>77664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7" workbookViewId="0">
      <selection activeCell="J38" sqref="J38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  <col min="14" max="14" width="9.88671875" bestFit="1" customWidth="1"/>
    <col min="15" max="15" width="12" bestFit="1" customWidth="1"/>
    <col min="16" max="16" width="10.6640625" style="264" bestFit="1" customWidth="1"/>
    <col min="17" max="17" width="8" style="424" bestFit="1" customWidth="1"/>
    <col min="18" max="18" width="11.44140625" style="264" bestFit="1" customWidth="1"/>
  </cols>
  <sheetData>
    <row r="1" spans="1:35" x14ac:dyDescent="0.25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74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23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23" t="s">
        <v>40</v>
      </c>
      <c r="N4" s="4" t="s">
        <v>20</v>
      </c>
      <c r="O4" s="4" t="s">
        <v>21</v>
      </c>
      <c r="P4" s="421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216" t="s">
        <v>264</v>
      </c>
      <c r="N5" s="14"/>
      <c r="O5" s="14"/>
      <c r="P5" s="14">
        <v>-34361</v>
      </c>
      <c r="Q5" s="374"/>
      <c r="R5" s="202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293611</v>
      </c>
      <c r="C6" s="11">
        <v>296350</v>
      </c>
      <c r="D6" s="11">
        <v>63639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-7438</v>
      </c>
      <c r="M6" s="423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74">
        <v>7.95</v>
      </c>
      <c r="R6" s="202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298687</v>
      </c>
      <c r="C7" s="11">
        <v>291389</v>
      </c>
      <c r="D7" s="11">
        <v>53723</v>
      </c>
      <c r="E7" s="11">
        <v>53011</v>
      </c>
      <c r="F7" s="11">
        <v>29404</v>
      </c>
      <c r="G7" s="11">
        <v>34124</v>
      </c>
      <c r="H7" s="11">
        <v>107008</v>
      </c>
      <c r="I7" s="11">
        <v>105603</v>
      </c>
      <c r="J7" s="11">
        <f t="shared" si="0"/>
        <v>-4695</v>
      </c>
      <c r="M7" s="423">
        <v>36892</v>
      </c>
      <c r="N7" s="24">
        <v>18949781</v>
      </c>
      <c r="O7" s="14">
        <v>18975457</v>
      </c>
      <c r="P7" s="14">
        <f t="shared" si="1"/>
        <v>25676</v>
      </c>
      <c r="Q7" s="374">
        <v>8.1</v>
      </c>
      <c r="R7" s="202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305283</v>
      </c>
      <c r="C8" s="11">
        <v>304498</v>
      </c>
      <c r="D8" s="129">
        <v>52072</v>
      </c>
      <c r="E8" s="11">
        <v>53010</v>
      </c>
      <c r="F8" s="11">
        <v>28475</v>
      </c>
      <c r="G8" s="11">
        <v>29559</v>
      </c>
      <c r="H8" s="129">
        <v>112524</v>
      </c>
      <c r="I8" s="11">
        <v>110956</v>
      </c>
      <c r="J8" s="11">
        <f t="shared" si="0"/>
        <v>-331</v>
      </c>
      <c r="M8" s="423">
        <v>36923</v>
      </c>
      <c r="N8" s="24">
        <v>15256233</v>
      </c>
      <c r="O8" s="14">
        <v>15290953</v>
      </c>
      <c r="P8" s="14">
        <f t="shared" si="1"/>
        <v>34720</v>
      </c>
      <c r="Q8" s="374">
        <v>5.61</v>
      </c>
      <c r="R8" s="202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319128</v>
      </c>
      <c r="C9" s="11">
        <v>334864</v>
      </c>
      <c r="D9" s="11">
        <v>52989</v>
      </c>
      <c r="E9" s="11">
        <v>53010</v>
      </c>
      <c r="F9" s="11">
        <v>21283</v>
      </c>
      <c r="G9" s="11">
        <v>21020</v>
      </c>
      <c r="H9" s="11">
        <v>93276</v>
      </c>
      <c r="I9" s="11">
        <v>74618</v>
      </c>
      <c r="J9" s="11">
        <f t="shared" si="0"/>
        <v>-3164</v>
      </c>
      <c r="M9" s="423">
        <v>36951</v>
      </c>
      <c r="N9" s="24">
        <v>17049350</v>
      </c>
      <c r="O9" s="14">
        <v>17089226</v>
      </c>
      <c r="P9" s="14">
        <f t="shared" si="1"/>
        <v>39876</v>
      </c>
      <c r="Q9" s="374">
        <v>4.87</v>
      </c>
      <c r="R9" s="202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334705</v>
      </c>
      <c r="C10" s="11">
        <v>339180</v>
      </c>
      <c r="D10" s="129">
        <v>51207</v>
      </c>
      <c r="E10" s="11">
        <v>53011</v>
      </c>
      <c r="F10" s="129">
        <v>14714</v>
      </c>
      <c r="G10" s="11">
        <v>8874</v>
      </c>
      <c r="H10" s="129">
        <v>87510</v>
      </c>
      <c r="I10" s="11">
        <v>87603</v>
      </c>
      <c r="J10" s="11">
        <f t="shared" si="0"/>
        <v>532</v>
      </c>
      <c r="M10" s="423">
        <v>36982</v>
      </c>
      <c r="N10" s="24">
        <v>17652369</v>
      </c>
      <c r="O10" s="14">
        <v>17743987</v>
      </c>
      <c r="P10" s="14">
        <f t="shared" si="1"/>
        <v>91618</v>
      </c>
      <c r="Q10" s="374">
        <v>4.62</v>
      </c>
      <c r="R10" s="202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312104</v>
      </c>
      <c r="C11" s="11">
        <v>309679</v>
      </c>
      <c r="D11" s="11">
        <v>43362</v>
      </c>
      <c r="E11" s="11">
        <v>53011</v>
      </c>
      <c r="F11" s="11">
        <v>10880</v>
      </c>
      <c r="G11" s="11">
        <v>12736</v>
      </c>
      <c r="H11" s="11">
        <v>90168</v>
      </c>
      <c r="I11" s="11">
        <v>89988</v>
      </c>
      <c r="J11" s="11">
        <f t="shared" si="0"/>
        <v>8900</v>
      </c>
      <c r="M11" s="423">
        <v>37012</v>
      </c>
      <c r="N11" s="24">
        <v>16124989</v>
      </c>
      <c r="O11" s="14">
        <v>16282021</v>
      </c>
      <c r="P11" s="14">
        <f t="shared" si="1"/>
        <v>157032</v>
      </c>
      <c r="Q11" s="374">
        <v>3.44</v>
      </c>
      <c r="R11" s="202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288166</v>
      </c>
      <c r="C12" s="11">
        <v>289073</v>
      </c>
      <c r="D12" s="11">
        <v>43580</v>
      </c>
      <c r="E12" s="11">
        <v>53011</v>
      </c>
      <c r="F12" s="11">
        <v>19382</v>
      </c>
      <c r="G12" s="11">
        <v>12736</v>
      </c>
      <c r="H12" s="11">
        <v>104429</v>
      </c>
      <c r="I12" s="11">
        <v>100083</v>
      </c>
      <c r="J12" s="11">
        <f t="shared" si="0"/>
        <v>-654</v>
      </c>
      <c r="M12" s="423">
        <v>37043</v>
      </c>
      <c r="N12" s="24">
        <v>15928675</v>
      </c>
      <c r="O12" s="14">
        <v>15936227</v>
      </c>
      <c r="P12" s="14">
        <f t="shared" si="1"/>
        <v>7552</v>
      </c>
      <c r="Q12" s="374">
        <v>2.58</v>
      </c>
      <c r="R12" s="202">
        <f t="shared" si="2"/>
        <v>19484.16</v>
      </c>
      <c r="S12" s="544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289467</v>
      </c>
      <c r="C13" s="11">
        <v>288947</v>
      </c>
      <c r="D13" s="129">
        <v>47108</v>
      </c>
      <c r="E13" s="11">
        <v>53011</v>
      </c>
      <c r="F13" s="129">
        <v>14186</v>
      </c>
      <c r="G13" s="11">
        <v>12067</v>
      </c>
      <c r="H13" s="129">
        <v>105267</v>
      </c>
      <c r="I13" s="11">
        <v>100436</v>
      </c>
      <c r="J13" s="11">
        <f t="shared" si="0"/>
        <v>-1567</v>
      </c>
      <c r="M13" s="423">
        <v>37073</v>
      </c>
      <c r="N13" s="24">
        <v>16669639</v>
      </c>
      <c r="O13" s="14">
        <v>16693576</v>
      </c>
      <c r="P13" s="14">
        <f t="shared" si="1"/>
        <v>23937</v>
      </c>
      <c r="Q13" s="374">
        <v>2.4500000000000002</v>
      </c>
      <c r="R13" s="202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327938</v>
      </c>
      <c r="C14" s="11">
        <v>331913</v>
      </c>
      <c r="D14" s="11">
        <v>51513</v>
      </c>
      <c r="E14" s="11">
        <v>43721</v>
      </c>
      <c r="F14" s="11">
        <v>14565</v>
      </c>
      <c r="G14" s="11">
        <v>15132</v>
      </c>
      <c r="H14" s="11">
        <v>107589</v>
      </c>
      <c r="I14" s="11">
        <v>106030</v>
      </c>
      <c r="J14" s="11">
        <f t="shared" si="0"/>
        <v>-4809</v>
      </c>
      <c r="M14" s="423">
        <v>37104</v>
      </c>
      <c r="N14" s="24">
        <v>17850737</v>
      </c>
      <c r="O14" s="14">
        <v>17815859</v>
      </c>
      <c r="P14" s="14">
        <f>+O14-N14</f>
        <v>-34878</v>
      </c>
      <c r="Q14" s="374">
        <v>2.61</v>
      </c>
      <c r="R14" s="202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23">
        <v>37135</v>
      </c>
      <c r="N15" s="24">
        <v>16552948</v>
      </c>
      <c r="O15" s="14">
        <v>16508018</v>
      </c>
      <c r="P15" s="14">
        <f>+O15-N15</f>
        <v>-44930</v>
      </c>
      <c r="Q15" s="374">
        <v>1.73</v>
      </c>
      <c r="R15" s="202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23">
        <v>37165</v>
      </c>
      <c r="N16" s="24">
        <v>17924814</v>
      </c>
      <c r="O16" s="14">
        <v>17872479</v>
      </c>
      <c r="P16" s="14">
        <f>+O16-N16</f>
        <v>-52335</v>
      </c>
      <c r="Q16" s="374">
        <v>2.06</v>
      </c>
      <c r="R16" s="202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23">
        <v>37196</v>
      </c>
      <c r="N17" s="24">
        <f>+N27</f>
        <v>15763946</v>
      </c>
      <c r="O17" s="14">
        <f>+[3]williams!$C$35+[3]williams!$E$35+[3]williams!$G$35+[3]williams!$I$35</f>
        <v>15721531</v>
      </c>
      <c r="P17" s="14">
        <f>+O17-N17</f>
        <v>-42415</v>
      </c>
      <c r="Q17" s="374">
        <v>1.98</v>
      </c>
      <c r="R17" s="202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23">
        <v>37229</v>
      </c>
      <c r="N18" s="24"/>
      <c r="O18" s="14"/>
      <c r="P18" s="14">
        <f>+O18-N18</f>
        <v>0</v>
      </c>
      <c r="Q18" s="374">
        <f>+'[2]1001'!$K$39</f>
        <v>1.99</v>
      </c>
      <c r="R18" s="202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50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50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23"/>
      <c r="N21" s="24"/>
      <c r="O21" s="14"/>
      <c r="P21" s="14">
        <f>SUM(P5:P20)</f>
        <v>135708</v>
      </c>
      <c r="Q21" s="374"/>
      <c r="R21" s="202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23"/>
      <c r="N22" s="24"/>
      <c r="O22" s="14"/>
      <c r="P22" s="203">
        <v>1.98</v>
      </c>
      <c r="Q22" s="374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23"/>
      <c r="N23" s="14">
        <v>1378106</v>
      </c>
      <c r="O23" s="14">
        <v>1316146</v>
      </c>
      <c r="P23" s="203">
        <f>+P22*P21</f>
        <v>268701.84000000003</v>
      </c>
      <c r="Q23" s="374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23"/>
      <c r="N24" s="14">
        <v>9216070</v>
      </c>
      <c r="O24" s="14">
        <v>9272400</v>
      </c>
      <c r="P24" s="15"/>
      <c r="Q24" s="374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23"/>
      <c r="N25" s="24">
        <v>3546065</v>
      </c>
      <c r="O25" s="24">
        <v>3512740</v>
      </c>
      <c r="P25" s="110"/>
      <c r="Q25" s="425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25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25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25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25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25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25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74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74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74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3399999</v>
      </c>
      <c r="C35" s="11">
        <f t="shared" ref="C35:I35" si="3">SUM(C4:C34)</f>
        <v>3440862</v>
      </c>
      <c r="D35" s="11">
        <f t="shared" si="3"/>
        <v>581720</v>
      </c>
      <c r="E35" s="11">
        <f t="shared" si="3"/>
        <v>573826</v>
      </c>
      <c r="F35" s="11">
        <f t="shared" si="3"/>
        <v>239792</v>
      </c>
      <c r="G35" s="11">
        <f t="shared" si="3"/>
        <v>242296</v>
      </c>
      <c r="H35" s="11">
        <f t="shared" si="3"/>
        <v>1088470</v>
      </c>
      <c r="I35" s="11">
        <f t="shared" si="3"/>
        <v>1033733</v>
      </c>
      <c r="J35" s="11">
        <f>SUM(J4:J34)</f>
        <v>-19264</v>
      </c>
      <c r="M35" s="32"/>
      <c r="N35" s="24"/>
      <c r="O35" s="32"/>
      <c r="P35" s="15"/>
      <c r="Q35" s="374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74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74"/>
      <c r="R37" s="110"/>
      <c r="S37" s="19"/>
      <c r="T37" s="104"/>
      <c r="U37" s="16"/>
      <c r="V37" s="15"/>
      <c r="W37" s="13"/>
    </row>
    <row r="38" spans="1:23" x14ac:dyDescent="0.25">
      <c r="A38" s="56">
        <v>37225</v>
      </c>
      <c r="C38" s="25"/>
      <c r="E38" s="25"/>
      <c r="G38" s="25"/>
      <c r="I38" s="25"/>
      <c r="J38" s="555">
        <v>135710</v>
      </c>
      <c r="M38" s="32"/>
      <c r="N38" s="24"/>
      <c r="O38" s="32"/>
      <c r="P38" s="15"/>
      <c r="Q38" s="374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74"/>
      <c r="R39" s="110"/>
      <c r="S39" s="19"/>
      <c r="T39" s="104"/>
      <c r="U39" s="16"/>
      <c r="V39" s="15"/>
      <c r="W39" s="13"/>
    </row>
    <row r="40" spans="1:23" x14ac:dyDescent="0.25">
      <c r="A40" s="33">
        <v>37236</v>
      </c>
      <c r="J40" s="51">
        <f>+J38+J35</f>
        <v>116446</v>
      </c>
      <c r="M40" s="32"/>
      <c r="N40" s="24"/>
      <c r="O40" s="32"/>
      <c r="P40" s="15"/>
      <c r="Q40" s="374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74"/>
      <c r="R41" s="110"/>
      <c r="S41" s="19"/>
      <c r="T41" s="104"/>
      <c r="U41" s="16"/>
      <c r="V41" s="15"/>
      <c r="W41" s="13"/>
    </row>
    <row r="42" spans="1:23" x14ac:dyDescent="0.25">
      <c r="M42" s="32"/>
      <c r="N42" s="24"/>
      <c r="O42" s="32"/>
      <c r="P42" s="15"/>
      <c r="Q42" s="374"/>
      <c r="R42" s="110"/>
      <c r="S42" s="19"/>
      <c r="T42" s="104"/>
      <c r="U42" s="16"/>
      <c r="V42" s="15"/>
      <c r="W42" s="13"/>
    </row>
    <row r="43" spans="1:23" x14ac:dyDescent="0.25">
      <c r="M43" s="32"/>
      <c r="N43" s="24"/>
      <c r="O43" s="32"/>
      <c r="P43" s="15"/>
      <c r="Q43" s="374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01"/>
      <c r="N44" s="24"/>
      <c r="O44" s="32"/>
      <c r="P44" s="15"/>
      <c r="Q44" s="374"/>
      <c r="R44" s="110"/>
      <c r="S44" s="19"/>
      <c r="T44" s="104"/>
      <c r="U44" s="16"/>
      <c r="V44" s="15"/>
      <c r="W44" s="13"/>
    </row>
    <row r="45" spans="1:23" x14ac:dyDescent="0.25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74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37225</v>
      </c>
      <c r="B46" s="32"/>
      <c r="C46" s="32"/>
      <c r="D46" s="550">
        <v>1018717.29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74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37236</v>
      </c>
      <c r="B47" s="32"/>
      <c r="C47" s="32"/>
      <c r="D47" s="390">
        <f>+J35*'by type_area'!J3</f>
        <v>-38335.360000000001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74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980381.93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74"/>
      <c r="R48" s="15"/>
      <c r="S48" s="19"/>
      <c r="T48" s="32"/>
    </row>
    <row r="49" spans="1:20" x14ac:dyDescent="0.25">
      <c r="A49" s="139"/>
      <c r="B49" s="119"/>
      <c r="C49" s="140"/>
      <c r="D49" s="39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74"/>
      <c r="R49" s="15"/>
      <c r="S49" s="32"/>
      <c r="T49" s="32"/>
    </row>
    <row r="50" spans="1:20" x14ac:dyDescent="0.25">
      <c r="A50" s="10"/>
      <c r="B50" s="11"/>
      <c r="C50" s="11"/>
      <c r="D50" s="39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74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74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74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74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74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74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74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74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74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74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74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74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74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74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74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74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74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74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25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25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25"/>
      <c r="R70" s="110"/>
      <c r="S70" s="19"/>
      <c r="T70" s="138"/>
    </row>
    <row r="71" spans="1:20" x14ac:dyDescent="0.25">
      <c r="A71" s="10"/>
      <c r="B71" s="11"/>
      <c r="C71" s="11"/>
      <c r="D71" s="278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25"/>
      <c r="R71" s="110"/>
      <c r="S71" s="19"/>
      <c r="T71" s="138"/>
    </row>
    <row r="72" spans="1:20" x14ac:dyDescent="0.25">
      <c r="A72" s="10"/>
      <c r="B72" s="11"/>
      <c r="C72" s="11"/>
      <c r="D72" s="278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25"/>
      <c r="R72" s="110"/>
      <c r="S72" s="19"/>
      <c r="T72" s="138"/>
    </row>
    <row r="73" spans="1:20" x14ac:dyDescent="0.25">
      <c r="A73" s="10"/>
      <c r="B73" s="11"/>
      <c r="C73" s="11"/>
      <c r="D73" s="278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25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25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25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25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25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25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25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25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25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25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25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25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25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25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25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25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25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74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74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74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74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74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74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74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74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74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74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74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74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74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74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74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74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74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74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74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26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21"/>
      <c r="Q255" s="143"/>
      <c r="R255" s="421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22"/>
      <c r="Q256" s="427"/>
      <c r="R256" s="422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25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25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25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25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25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25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25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25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25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25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25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25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25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25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25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25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25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25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25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25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25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25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25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25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25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25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25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25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25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25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25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25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26"/>
      <c r="S295" s="1"/>
    </row>
    <row r="296" spans="9:21" x14ac:dyDescent="0.25">
      <c r="K296" s="2"/>
      <c r="M296" s="30"/>
      <c r="N296" s="4"/>
      <c r="O296" s="4"/>
      <c r="P296" s="421"/>
      <c r="Q296" s="143"/>
      <c r="R296" s="421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22"/>
      <c r="Q297" s="427"/>
      <c r="R297" s="422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25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25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25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25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25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25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25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25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25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25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25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25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25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25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25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25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25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25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25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25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25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25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25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25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25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25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25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25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25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25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25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25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26"/>
      <c r="S337" s="1"/>
    </row>
    <row r="338" spans="11:21" x14ac:dyDescent="0.25">
      <c r="K338" s="2"/>
      <c r="M338" s="30"/>
      <c r="N338" s="4"/>
      <c r="O338" s="4"/>
      <c r="P338" s="421"/>
      <c r="Q338" s="143"/>
      <c r="R338" s="421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22"/>
      <c r="Q339" s="427"/>
      <c r="R339" s="422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25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25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25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25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25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25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25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25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25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25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25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25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25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25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25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25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25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25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25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25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25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25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25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25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25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25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25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25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25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25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25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25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26"/>
      <c r="S379" s="1"/>
    </row>
    <row r="380" spans="11:21" x14ac:dyDescent="0.25">
      <c r="K380" s="2"/>
      <c r="M380" s="30"/>
      <c r="N380" s="4"/>
      <c r="O380" s="4"/>
      <c r="P380" s="421"/>
      <c r="Q380" s="143"/>
      <c r="R380" s="421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22"/>
      <c r="Q381" s="427"/>
      <c r="R381" s="422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25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25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25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25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25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25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25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25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25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25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25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25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25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25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25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25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25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25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25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25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25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25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25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25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25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25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25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25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25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25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25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25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26"/>
      <c r="S423" s="1"/>
    </row>
    <row r="424" spans="11:21" x14ac:dyDescent="0.25">
      <c r="K424" s="2"/>
      <c r="M424" s="30"/>
      <c r="N424" s="4"/>
      <c r="O424" s="4"/>
      <c r="P424" s="421"/>
      <c r="Q424" s="143"/>
      <c r="R424" s="421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22"/>
      <c r="Q425" s="427"/>
      <c r="R425" s="422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25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25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25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25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25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25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25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25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25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25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25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25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25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25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25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25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25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25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25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25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25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25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25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25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25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25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25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25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25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25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25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25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26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21"/>
      <c r="Q466" s="143"/>
      <c r="R466" s="421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22"/>
      <c r="Q467" s="427"/>
      <c r="R467" s="422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25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25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25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25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25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25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25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25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25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25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25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25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25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25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25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25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25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25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25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25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25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25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25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25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25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25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25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25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25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25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25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25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0" workbookViewId="0">
      <selection activeCell="D46" sqref="D4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221</v>
      </c>
      <c r="C3" s="87"/>
      <c r="D3" s="87"/>
    </row>
    <row r="4" spans="1:4" x14ac:dyDescent="0.25">
      <c r="A4" s="3"/>
      <c r="B4" s="339" t="s">
        <v>222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5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5">
      <c r="A8" s="10">
        <v>3</v>
      </c>
      <c r="B8" s="129">
        <v>616</v>
      </c>
      <c r="C8" s="11">
        <v>589</v>
      </c>
      <c r="D8" s="25">
        <f t="shared" si="0"/>
        <v>-27</v>
      </c>
    </row>
    <row r="9" spans="1:4" x14ac:dyDescent="0.25">
      <c r="A9" s="10">
        <v>4</v>
      </c>
      <c r="B9" s="129">
        <v>599</v>
      </c>
      <c r="C9" s="11">
        <v>589</v>
      </c>
      <c r="D9" s="25">
        <f t="shared" si="0"/>
        <v>-10</v>
      </c>
    </row>
    <row r="10" spans="1:4" x14ac:dyDescent="0.25">
      <c r="A10" s="10">
        <v>5</v>
      </c>
      <c r="B10" s="129">
        <v>595</v>
      </c>
      <c r="C10" s="11">
        <v>589</v>
      </c>
      <c r="D10" s="25">
        <f t="shared" si="0"/>
        <v>-6</v>
      </c>
    </row>
    <row r="11" spans="1:4" x14ac:dyDescent="0.25">
      <c r="A11" s="10">
        <v>6</v>
      </c>
      <c r="B11" s="129">
        <v>616</v>
      </c>
      <c r="C11" s="11">
        <v>589</v>
      </c>
      <c r="D11" s="25">
        <f t="shared" si="0"/>
        <v>-27</v>
      </c>
    </row>
    <row r="12" spans="1:4" x14ac:dyDescent="0.25">
      <c r="A12" s="10">
        <v>7</v>
      </c>
      <c r="B12" s="129">
        <v>629</v>
      </c>
      <c r="C12" s="11">
        <v>589</v>
      </c>
      <c r="D12" s="25">
        <f t="shared" si="0"/>
        <v>-40</v>
      </c>
    </row>
    <row r="13" spans="1:4" x14ac:dyDescent="0.25">
      <c r="A13" s="10">
        <v>8</v>
      </c>
      <c r="B13" s="11">
        <v>662</v>
      </c>
      <c r="C13" s="11">
        <v>589</v>
      </c>
      <c r="D13" s="25">
        <f t="shared" si="0"/>
        <v>-73</v>
      </c>
    </row>
    <row r="14" spans="1:4" x14ac:dyDescent="0.25">
      <c r="A14" s="10">
        <v>9</v>
      </c>
      <c r="B14" s="11">
        <v>681</v>
      </c>
      <c r="C14" s="11">
        <v>589</v>
      </c>
      <c r="D14" s="25">
        <f t="shared" si="0"/>
        <v>-92</v>
      </c>
    </row>
    <row r="15" spans="1:4" x14ac:dyDescent="0.25">
      <c r="A15" s="10">
        <v>10</v>
      </c>
      <c r="B15" s="11">
        <v>711</v>
      </c>
      <c r="C15" s="11">
        <v>589</v>
      </c>
      <c r="D15" s="25">
        <f t="shared" si="0"/>
        <v>-122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6384</v>
      </c>
      <c r="C37" s="11">
        <f>SUM(C6:C36)</f>
        <v>5890</v>
      </c>
      <c r="D37" s="25">
        <f>SUM(D6:D36)</f>
        <v>-494</v>
      </c>
    </row>
    <row r="38" spans="1:4" x14ac:dyDescent="0.25">
      <c r="A38" s="26"/>
      <c r="C38" s="14"/>
      <c r="D38" s="337">
        <f>+summary!H5</f>
        <v>2.04</v>
      </c>
    </row>
    <row r="39" spans="1:4" x14ac:dyDescent="0.25">
      <c r="D39" s="138">
        <f>+D38*D37</f>
        <v>-1007.76</v>
      </c>
    </row>
    <row r="40" spans="1:4" x14ac:dyDescent="0.25">
      <c r="A40" s="57">
        <v>37225</v>
      </c>
      <c r="C40" s="15"/>
      <c r="D40" s="567">
        <v>148916.73000000001</v>
      </c>
    </row>
    <row r="41" spans="1:4" x14ac:dyDescent="0.25">
      <c r="A41" s="57">
        <v>37235</v>
      </c>
      <c r="C41" s="48"/>
      <c r="D41" s="138">
        <f>+D40+D39</f>
        <v>147908.97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57">
        <v>28495</v>
      </c>
    </row>
    <row r="47" spans="1:4" x14ac:dyDescent="0.25">
      <c r="A47" s="49">
        <f>+A41</f>
        <v>37235</v>
      </c>
      <c r="B47" s="32"/>
      <c r="C47" s="32"/>
      <c r="D47" s="363">
        <f>+D37</f>
        <v>-494</v>
      </c>
    </row>
    <row r="48" spans="1:4" x14ac:dyDescent="0.25">
      <c r="A48" s="32"/>
      <c r="B48" s="32"/>
      <c r="C48" s="32"/>
      <c r="D48" s="14">
        <f>+D47+D46</f>
        <v>28001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D46" sqref="D46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7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224</v>
      </c>
      <c r="B1" s="32"/>
      <c r="C1" s="202"/>
      <c r="O1" s="34"/>
      <c r="AD1" s="38" t="s">
        <v>77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492" t="s">
        <v>226</v>
      </c>
      <c r="C3" s="210"/>
      <c r="D3" s="492" t="s">
        <v>227</v>
      </c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5">
      <c r="A4" s="118"/>
      <c r="B4" s="24" t="s">
        <v>225</v>
      </c>
      <c r="C4" s="32"/>
      <c r="D4" s="233" t="s">
        <v>228</v>
      </c>
      <c r="E4" s="24"/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8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8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-2166</v>
      </c>
      <c r="C9" s="24">
        <v>-1613</v>
      </c>
      <c r="D9" s="51">
        <v>-2354</v>
      </c>
      <c r="E9" s="24">
        <v>-2000</v>
      </c>
      <c r="F9" s="24">
        <f t="shared" si="0"/>
        <v>907</v>
      </c>
      <c r="G9" s="208"/>
      <c r="O9" s="203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-2259</v>
      </c>
      <c r="C10" s="24">
        <v>-1613</v>
      </c>
      <c r="D10" s="51">
        <v>-2518</v>
      </c>
      <c r="E10" s="24">
        <v>-2000</v>
      </c>
      <c r="F10" s="24">
        <f t="shared" si="0"/>
        <v>1164</v>
      </c>
      <c r="G10" s="20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-2152</v>
      </c>
      <c r="C11" s="24">
        <v>-1613</v>
      </c>
      <c r="D11" s="24">
        <v>-2440</v>
      </c>
      <c r="E11" s="24">
        <v>-2000</v>
      </c>
      <c r="F11" s="24">
        <f t="shared" si="0"/>
        <v>979</v>
      </c>
      <c r="G11" s="20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-2005</v>
      </c>
      <c r="C12" s="24">
        <v>-1613</v>
      </c>
      <c r="D12" s="51">
        <v>-2470</v>
      </c>
      <c r="E12" s="24">
        <v>-2000</v>
      </c>
      <c r="F12" s="24">
        <f t="shared" si="0"/>
        <v>862</v>
      </c>
      <c r="G12" s="20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-933</v>
      </c>
      <c r="C13" s="24">
        <v>-1613</v>
      </c>
      <c r="D13" s="24">
        <v>-2314</v>
      </c>
      <c r="E13" s="24">
        <v>-2000</v>
      </c>
      <c r="F13" s="24">
        <f t="shared" si="0"/>
        <v>-366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-1857</v>
      </c>
      <c r="C14" s="24">
        <v>-1613</v>
      </c>
      <c r="D14" s="24">
        <v>-787</v>
      </c>
      <c r="E14" s="24">
        <v>-2000</v>
      </c>
      <c r="F14" s="24">
        <f t="shared" si="0"/>
        <v>-969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-2242</v>
      </c>
      <c r="C15" s="24">
        <v>-1613</v>
      </c>
      <c r="D15" s="24">
        <v>-2568</v>
      </c>
      <c r="E15" s="24">
        <v>-2000</v>
      </c>
      <c r="F15" s="24">
        <f t="shared" si="0"/>
        <v>1197</v>
      </c>
      <c r="G15" s="208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8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8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8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8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8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8"/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8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8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-19749</v>
      </c>
      <c r="C37" s="24">
        <f>SUM(C6:C36)</f>
        <v>-16130</v>
      </c>
      <c r="D37" s="24">
        <f>SUM(D6:D36)</f>
        <v>-19988</v>
      </c>
      <c r="E37" s="24">
        <f>SUM(E6:E36)</f>
        <v>-20000</v>
      </c>
      <c r="F37" s="24">
        <f>SUM(F6:F36)</f>
        <v>3607</v>
      </c>
      <c r="G37" s="208"/>
      <c r="H37" s="208"/>
      <c r="I37" s="208"/>
      <c r="J37" s="16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2.02</v>
      </c>
      <c r="G38" s="208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7286.14</v>
      </c>
      <c r="G39" s="46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08">
        <v>37225</v>
      </c>
      <c r="C40" s="330"/>
      <c r="D40" s="267"/>
      <c r="E40" s="267"/>
      <c r="F40" s="565">
        <f>-7085.01-120842.49</f>
        <v>-127927.5</v>
      </c>
      <c r="G40" s="46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08">
        <v>37235</v>
      </c>
      <c r="C41" s="330"/>
      <c r="D41" s="267"/>
      <c r="E41" s="267"/>
      <c r="F41" s="104">
        <f>+F40+F39</f>
        <v>-120641.36</v>
      </c>
      <c r="G41" s="46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57">
        <f>-658-37833</f>
        <v>-38491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37235</v>
      </c>
      <c r="B47" s="32"/>
      <c r="C47" s="32"/>
      <c r="D47" s="363">
        <f>+F37</f>
        <v>3607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-34884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>
      <selection activeCell="A9" sqref="A9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3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4" bestFit="1" customWidth="1"/>
    <col min="30" max="31" width="11.109375" style="14" bestFit="1" customWidth="1"/>
    <col min="32" max="32" width="10.44140625" style="14" bestFit="1" customWidth="1"/>
    <col min="33" max="33" width="10.109375" style="205" bestFit="1" customWidth="1"/>
    <col min="34" max="34" width="12.33203125" style="32" customWidth="1"/>
    <col min="35" max="35" width="12" style="47" bestFit="1" customWidth="1"/>
    <col min="36" max="36" width="11" style="237" bestFit="1" customWidth="1"/>
    <col min="37" max="37" width="10.44140625" style="203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232</v>
      </c>
      <c r="B1" s="32"/>
      <c r="C1" s="202"/>
      <c r="O1" s="34"/>
      <c r="AB1" s="38" t="s">
        <v>77</v>
      </c>
    </row>
    <row r="2" spans="1:43" ht="16.5" customHeight="1" x14ac:dyDescent="0.25">
      <c r="A2" s="153" t="s">
        <v>233</v>
      </c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B2" s="2"/>
    </row>
    <row r="3" spans="1:43" ht="18.75" customHeight="1" x14ac:dyDescent="0.2">
      <c r="A3" s="153"/>
      <c r="B3" s="492" t="s">
        <v>234</v>
      </c>
      <c r="C3" s="210"/>
      <c r="D3" s="492" t="s">
        <v>236</v>
      </c>
      <c r="E3" s="209"/>
      <c r="F3" s="492" t="s">
        <v>238</v>
      </c>
      <c r="G3" s="209"/>
      <c r="H3" s="492" t="s">
        <v>240</v>
      </c>
      <c r="I3" s="209"/>
      <c r="J3" s="492" t="s">
        <v>242</v>
      </c>
      <c r="K3" s="209"/>
      <c r="L3" s="492" t="s">
        <v>244</v>
      </c>
      <c r="M3" s="209"/>
      <c r="N3" s="492" t="s">
        <v>246</v>
      </c>
      <c r="O3" s="209"/>
      <c r="P3" s="206"/>
      <c r="Q3" s="206"/>
      <c r="U3" s="32"/>
      <c r="Y3" s="32"/>
      <c r="AC3" s="203"/>
      <c r="AD3" s="32"/>
      <c r="AE3" s="32"/>
      <c r="AF3" s="32"/>
      <c r="AG3" s="47"/>
      <c r="AI3" s="32"/>
      <c r="AJ3" s="32"/>
      <c r="AK3" s="204"/>
      <c r="AL3" s="14"/>
      <c r="AM3" s="14"/>
      <c r="AN3" s="14"/>
      <c r="AO3" s="205"/>
      <c r="AQ3" s="47"/>
    </row>
    <row r="4" spans="1:43" ht="17.100000000000001" customHeight="1" x14ac:dyDescent="0.25">
      <c r="A4" s="118"/>
      <c r="B4" s="24" t="s">
        <v>235</v>
      </c>
      <c r="C4" s="32"/>
      <c r="D4" s="233" t="s">
        <v>237</v>
      </c>
      <c r="E4" s="24"/>
      <c r="F4" s="233" t="s">
        <v>239</v>
      </c>
      <c r="G4" s="24"/>
      <c r="H4" s="233" t="s">
        <v>241</v>
      </c>
      <c r="I4" s="24"/>
      <c r="J4" s="233" t="s">
        <v>243</v>
      </c>
      <c r="K4" s="24"/>
      <c r="L4" s="233" t="s">
        <v>245</v>
      </c>
      <c r="M4" s="24"/>
      <c r="N4" s="233" t="s">
        <v>247</v>
      </c>
      <c r="O4" s="24"/>
      <c r="P4" s="24"/>
      <c r="U4" s="32"/>
      <c r="V4" s="205"/>
      <c r="Y4" s="205"/>
      <c r="AC4" s="32"/>
      <c r="AD4" s="211"/>
      <c r="AE4" s="32"/>
      <c r="AF4" s="32"/>
      <c r="AG4" s="47"/>
      <c r="AI4" s="32"/>
      <c r="AJ4" s="32"/>
      <c r="AK4" s="204"/>
      <c r="AL4" s="14"/>
      <c r="AM4" s="14"/>
      <c r="AN4" s="14"/>
      <c r="AO4" s="205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5"/>
      <c r="X5" s="14"/>
      <c r="Y5" s="205"/>
      <c r="AA5" s="14"/>
      <c r="AB5" s="14"/>
      <c r="AC5" s="75"/>
      <c r="AD5" s="15"/>
      <c r="AE5" s="32"/>
      <c r="AF5" s="32"/>
      <c r="AG5" s="47"/>
      <c r="AI5" s="32"/>
      <c r="AJ5" s="32"/>
      <c r="AK5" s="204"/>
      <c r="AL5" s="14"/>
      <c r="AM5" s="14"/>
      <c r="AN5" s="14"/>
      <c r="AO5" s="205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>
        <v>-30</v>
      </c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3381</v>
      </c>
      <c r="U6" s="135"/>
      <c r="V6" s="205"/>
      <c r="X6" s="14"/>
      <c r="Y6" s="205"/>
      <c r="AA6" s="14"/>
      <c r="AB6" s="212"/>
      <c r="AC6" s="75"/>
      <c r="AD6" s="15"/>
      <c r="AE6" s="15"/>
      <c r="AF6" s="32"/>
      <c r="AG6" s="47"/>
      <c r="AI6" s="32"/>
      <c r="AJ6" s="12"/>
      <c r="AK6" s="213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>
        <v>-30</v>
      </c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1949</v>
      </c>
      <c r="Q7" s="135"/>
      <c r="R7" s="135"/>
      <c r="S7" s="135"/>
      <c r="T7" s="135"/>
      <c r="U7" s="135"/>
      <c r="V7" s="205"/>
      <c r="X7" s="14"/>
      <c r="Y7" s="205"/>
      <c r="AA7" s="14"/>
      <c r="AB7" s="14"/>
      <c r="AC7" s="75"/>
      <c r="AD7" s="15"/>
      <c r="AE7" s="15"/>
      <c r="AF7" s="32"/>
      <c r="AG7" s="47"/>
      <c r="AI7" s="32"/>
      <c r="AJ7" s="101"/>
      <c r="AK7" s="214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>
        <v>-30</v>
      </c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</v>
      </c>
      <c r="U8" s="135"/>
      <c r="V8" s="205"/>
      <c r="X8" s="14"/>
      <c r="Y8" s="205"/>
      <c r="AA8" s="14"/>
      <c r="AB8" s="14"/>
      <c r="AC8" s="75"/>
      <c r="AD8" s="15"/>
      <c r="AE8" s="15"/>
      <c r="AF8" s="32"/>
      <c r="AG8" s="47"/>
      <c r="AI8" s="32"/>
      <c r="AJ8" s="101"/>
      <c r="AK8" s="214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-1840</v>
      </c>
      <c r="C9" s="24">
        <v>-2104</v>
      </c>
      <c r="D9" s="51"/>
      <c r="E9" s="24">
        <v>-25</v>
      </c>
      <c r="F9" s="24"/>
      <c r="G9" s="24">
        <v>-30</v>
      </c>
      <c r="H9" s="24"/>
      <c r="I9" s="24"/>
      <c r="J9" s="24"/>
      <c r="K9" s="24"/>
      <c r="L9" s="51"/>
      <c r="M9" s="24"/>
      <c r="N9" s="51"/>
      <c r="O9" s="24"/>
      <c r="P9" s="24">
        <f t="shared" si="0"/>
        <v>-289</v>
      </c>
      <c r="U9" s="135"/>
      <c r="V9" s="205"/>
      <c r="X9" s="14"/>
      <c r="Y9" s="205"/>
      <c r="AA9" s="14"/>
      <c r="AB9" s="14"/>
      <c r="AC9" s="75"/>
      <c r="AD9" s="15"/>
      <c r="AE9" s="15"/>
      <c r="AF9" s="32"/>
      <c r="AG9" s="47"/>
      <c r="AI9" s="32"/>
      <c r="AJ9" s="101"/>
      <c r="AK9" s="214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-1968</v>
      </c>
      <c r="C10" s="24">
        <v>-2104</v>
      </c>
      <c r="D10" s="51"/>
      <c r="E10" s="24">
        <v>-25</v>
      </c>
      <c r="F10" s="24"/>
      <c r="G10" s="24">
        <v>-30</v>
      </c>
      <c r="H10" s="24"/>
      <c r="I10" s="24"/>
      <c r="J10" s="24"/>
      <c r="K10" s="24"/>
      <c r="L10" s="51"/>
      <c r="M10" s="24"/>
      <c r="N10" s="51"/>
      <c r="O10" s="24"/>
      <c r="P10" s="24">
        <f t="shared" si="0"/>
        <v>-161</v>
      </c>
      <c r="U10" s="135"/>
      <c r="V10" s="205"/>
      <c r="X10" s="14"/>
      <c r="Y10" s="205"/>
      <c r="AA10" s="14"/>
      <c r="AB10" s="14"/>
      <c r="AC10" s="75"/>
      <c r="AD10" s="15"/>
      <c r="AE10" s="15"/>
      <c r="AF10" s="32"/>
      <c r="AG10" s="47"/>
      <c r="AI10" s="32"/>
      <c r="AJ10" s="101"/>
      <c r="AK10" s="214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-1992</v>
      </c>
      <c r="C11" s="24">
        <v>-2104</v>
      </c>
      <c r="D11" s="24"/>
      <c r="E11" s="24">
        <v>-25</v>
      </c>
      <c r="F11" s="24"/>
      <c r="G11" s="24">
        <v>-30</v>
      </c>
      <c r="H11" s="24"/>
      <c r="I11" s="24"/>
      <c r="J11" s="24"/>
      <c r="K11" s="24"/>
      <c r="L11" s="24"/>
      <c r="M11" s="24"/>
      <c r="N11" s="24"/>
      <c r="O11" s="24"/>
      <c r="P11" s="24">
        <f t="shared" si="0"/>
        <v>-137</v>
      </c>
      <c r="U11" s="135"/>
      <c r="V11" s="205"/>
      <c r="X11" s="14"/>
      <c r="Y11" s="205"/>
      <c r="AA11" s="14"/>
      <c r="AB11" s="14"/>
      <c r="AC11" s="75"/>
      <c r="AD11" s="15"/>
      <c r="AE11" s="15"/>
      <c r="AF11" s="32"/>
      <c r="AG11" s="47"/>
      <c r="AI11" s="32"/>
      <c r="AJ11" s="101"/>
      <c r="AK11" s="214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-1997</v>
      </c>
      <c r="C12" s="24">
        <v>-2104</v>
      </c>
      <c r="D12" s="51"/>
      <c r="E12" s="24">
        <v>-25</v>
      </c>
      <c r="F12" s="24"/>
      <c r="G12" s="24">
        <v>-30</v>
      </c>
      <c r="H12" s="24"/>
      <c r="I12" s="24"/>
      <c r="J12" s="24"/>
      <c r="K12" s="24"/>
      <c r="L12" s="51"/>
      <c r="M12" s="24"/>
      <c r="N12" s="51"/>
      <c r="O12" s="24"/>
      <c r="P12" s="24">
        <f t="shared" si="0"/>
        <v>-132</v>
      </c>
      <c r="U12" s="135"/>
      <c r="V12" s="205"/>
      <c r="X12" s="14"/>
      <c r="Y12" s="205"/>
      <c r="AA12" s="14"/>
      <c r="AB12" s="14"/>
      <c r="AC12" s="75"/>
      <c r="AD12" s="15"/>
      <c r="AE12" s="15"/>
      <c r="AF12" s="32"/>
      <c r="AG12" s="47"/>
      <c r="AI12" s="32"/>
      <c r="AJ12" s="101"/>
      <c r="AK12" s="214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-2104</v>
      </c>
      <c r="D13" s="24">
        <v>-3</v>
      </c>
      <c r="E13" s="24">
        <v>-25</v>
      </c>
      <c r="F13" s="24"/>
      <c r="G13" s="24">
        <v>-30</v>
      </c>
      <c r="H13" s="24"/>
      <c r="I13" s="24"/>
      <c r="J13" s="24"/>
      <c r="K13" s="24"/>
      <c r="L13" s="24"/>
      <c r="M13" s="24"/>
      <c r="N13" s="24"/>
      <c r="O13" s="24"/>
      <c r="P13" s="24">
        <f t="shared" si="0"/>
        <v>36</v>
      </c>
      <c r="U13" s="135"/>
      <c r="V13" s="205"/>
      <c r="X13" s="14"/>
      <c r="Y13" s="205"/>
      <c r="AA13" s="14"/>
      <c r="AB13" s="14"/>
      <c r="AC13" s="75"/>
      <c r="AD13" s="15"/>
      <c r="AE13" s="15"/>
      <c r="AF13" s="32"/>
      <c r="AG13" s="47"/>
      <c r="AI13" s="32"/>
      <c r="AJ13" s="101"/>
      <c r="AK13" s="214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-2166</v>
      </c>
      <c r="C14" s="24">
        <v>-2104</v>
      </c>
      <c r="D14" s="24"/>
      <c r="E14" s="24">
        <v>-25</v>
      </c>
      <c r="F14" s="24"/>
      <c r="G14" s="24">
        <v>-30</v>
      </c>
      <c r="H14" s="24"/>
      <c r="I14" s="24"/>
      <c r="J14" s="24"/>
      <c r="K14" s="24"/>
      <c r="L14" s="24"/>
      <c r="M14" s="24"/>
      <c r="N14" s="24"/>
      <c r="O14" s="24"/>
      <c r="P14" s="24">
        <f t="shared" si="0"/>
        <v>37</v>
      </c>
      <c r="U14" s="135"/>
      <c r="V14" s="205"/>
      <c r="X14" s="14"/>
      <c r="Y14" s="205"/>
      <c r="AA14" s="14"/>
      <c r="AB14" s="14"/>
      <c r="AC14" s="75"/>
      <c r="AD14" s="15"/>
      <c r="AE14" s="15"/>
      <c r="AF14" s="32"/>
      <c r="AG14" s="47"/>
      <c r="AI14" s="32"/>
      <c r="AJ14" s="101"/>
      <c r="AK14" s="214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-2128</v>
      </c>
      <c r="C15" s="24">
        <v>-2104</v>
      </c>
      <c r="D15" s="24"/>
      <c r="E15" s="24">
        <v>-25</v>
      </c>
      <c r="F15" s="24"/>
      <c r="G15" s="24">
        <v>-30</v>
      </c>
      <c r="H15" s="24"/>
      <c r="I15" s="24"/>
      <c r="J15" s="24"/>
      <c r="K15" s="24"/>
      <c r="L15" s="24"/>
      <c r="M15" s="24"/>
      <c r="N15" s="24"/>
      <c r="O15" s="24"/>
      <c r="P15" s="24">
        <f t="shared" si="0"/>
        <v>-1</v>
      </c>
      <c r="U15" s="135"/>
      <c r="V15" s="205"/>
      <c r="X15" s="14"/>
      <c r="Y15" s="32"/>
      <c r="AC15" s="203"/>
      <c r="AD15" s="32"/>
      <c r="AE15" s="32"/>
      <c r="AF15" s="32"/>
      <c r="AG15" s="47"/>
      <c r="AI15" s="32"/>
      <c r="AJ15" s="101"/>
      <c r="AK15" s="214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5"/>
      <c r="X16" s="14"/>
      <c r="Y16" s="205"/>
      <c r="AA16" s="14"/>
      <c r="AB16" s="14"/>
      <c r="AC16" s="75"/>
      <c r="AD16" s="15"/>
      <c r="AE16" s="15"/>
      <c r="AF16" s="32"/>
      <c r="AG16" s="47"/>
      <c r="AI16" s="32"/>
      <c r="AJ16" s="101"/>
      <c r="AK16" s="214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5"/>
      <c r="X17" s="14"/>
      <c r="Y17" s="205"/>
      <c r="AC17" s="203"/>
      <c r="AD17" s="32"/>
      <c r="AE17" s="32"/>
      <c r="AF17" s="32"/>
      <c r="AG17" s="47"/>
      <c r="AI17" s="32"/>
      <c r="AJ17" s="101"/>
      <c r="AK17" s="214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5"/>
      <c r="X18" s="14"/>
      <c r="Y18" s="205"/>
      <c r="AC18" s="203"/>
      <c r="AD18" s="32"/>
      <c r="AE18" s="32"/>
      <c r="AF18" s="32"/>
      <c r="AG18" s="47"/>
      <c r="AI18" s="32"/>
      <c r="AJ18" s="101"/>
      <c r="AK18" s="214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5"/>
      <c r="X19" s="14"/>
      <c r="Y19" s="205"/>
      <c r="AA19" s="14"/>
      <c r="AC19" s="203"/>
      <c r="AD19" s="32"/>
      <c r="AE19" s="32"/>
      <c r="AF19" s="32"/>
      <c r="AG19" s="47"/>
      <c r="AI19" s="32"/>
      <c r="AJ19" s="101"/>
      <c r="AK19" s="214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5"/>
      <c r="X20" s="14"/>
      <c r="Y20" s="205"/>
      <c r="AA20" s="14"/>
      <c r="AC20" s="203"/>
      <c r="AD20" s="32"/>
      <c r="AE20" s="32"/>
      <c r="AF20" s="32"/>
      <c r="AG20" s="47"/>
      <c r="AI20" s="32"/>
      <c r="AJ20" s="101"/>
      <c r="AK20" s="214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5"/>
      <c r="X21" s="14"/>
      <c r="Y21" s="205"/>
      <c r="AA21" s="14"/>
      <c r="AC21" s="203"/>
      <c r="AD21" s="32"/>
      <c r="AE21" s="32"/>
      <c r="AF21" s="32"/>
      <c r="AG21" s="47"/>
      <c r="AI21" s="32"/>
      <c r="AJ21" s="101"/>
      <c r="AK21" s="214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5"/>
      <c r="X22" s="14"/>
      <c r="Y22" s="205"/>
      <c r="AA22" s="14"/>
      <c r="AB22" s="14"/>
      <c r="AC22" s="75"/>
      <c r="AD22" s="15"/>
      <c r="AE22" s="15"/>
      <c r="AF22" s="32"/>
      <c r="AG22" s="47"/>
      <c r="AI22" s="32"/>
      <c r="AJ22" s="101"/>
      <c r="AK22" s="214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5"/>
      <c r="X23" s="14"/>
      <c r="Y23" s="205"/>
      <c r="AA23" s="14"/>
      <c r="AB23" s="14"/>
      <c r="AC23" s="75"/>
      <c r="AD23" s="15"/>
      <c r="AE23" s="15"/>
      <c r="AF23" s="32"/>
      <c r="AG23" s="47"/>
      <c r="AI23" s="32"/>
      <c r="AJ23" s="101"/>
      <c r="AK23" s="214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5"/>
      <c r="X24" s="14"/>
      <c r="Y24" s="205"/>
      <c r="AA24" s="14"/>
      <c r="AB24" s="14"/>
      <c r="AC24" s="75"/>
      <c r="AD24" s="15"/>
      <c r="AE24" s="15"/>
      <c r="AF24" s="32"/>
      <c r="AG24" s="47"/>
      <c r="AI24" s="32"/>
      <c r="AJ24" s="101"/>
      <c r="AK24" s="214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5"/>
      <c r="W25" s="216"/>
      <c r="X25" s="14"/>
      <c r="Y25" s="205"/>
      <c r="AA25" s="14"/>
      <c r="AB25" s="14"/>
      <c r="AC25" s="75"/>
      <c r="AD25" s="15"/>
      <c r="AE25" s="15"/>
      <c r="AF25" s="32"/>
      <c r="AG25" s="47"/>
      <c r="AI25" s="32"/>
      <c r="AJ25" s="101"/>
      <c r="AK25" s="214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5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4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5"/>
      <c r="W27" s="135"/>
      <c r="X27" s="14"/>
      <c r="Y27" s="32"/>
      <c r="AA27" s="14"/>
      <c r="AB27" s="14"/>
      <c r="AC27" s="75"/>
      <c r="AD27" s="201"/>
      <c r="AE27" s="32"/>
      <c r="AF27" s="32"/>
      <c r="AG27" s="47"/>
      <c r="AI27" s="32"/>
      <c r="AJ27" s="101"/>
      <c r="AK27" s="214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5"/>
      <c r="W28" s="135"/>
      <c r="X28" s="14"/>
      <c r="Y28" s="32"/>
      <c r="AA28" s="14"/>
      <c r="AB28" s="14"/>
      <c r="AC28" s="75"/>
      <c r="AD28" s="215"/>
      <c r="AE28" s="32"/>
      <c r="AF28" s="32"/>
      <c r="AG28" s="47"/>
      <c r="AI28" s="32"/>
      <c r="AJ28" s="101"/>
      <c r="AK28" s="214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5"/>
      <c r="W29" s="135"/>
      <c r="X29" s="14"/>
      <c r="Y29" s="32"/>
      <c r="AA29" s="14"/>
      <c r="AB29" s="14"/>
      <c r="AC29" s="75"/>
      <c r="AD29" s="218"/>
      <c r="AE29" s="32"/>
      <c r="AF29" s="32"/>
      <c r="AG29" s="47"/>
      <c r="AI29" s="32"/>
      <c r="AJ29" s="101"/>
      <c r="AK29" s="214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3"/>
      <c r="AD30" s="32"/>
      <c r="AE30" s="32"/>
      <c r="AF30" s="32"/>
      <c r="AG30" s="47"/>
      <c r="AI30" s="32"/>
      <c r="AJ30" s="101"/>
      <c r="AK30" s="214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3"/>
      <c r="AD31" s="32"/>
      <c r="AE31" s="32"/>
      <c r="AF31" s="32"/>
      <c r="AG31" s="47"/>
      <c r="AI31" s="32"/>
      <c r="AJ31" s="101"/>
      <c r="AK31" s="214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3"/>
      <c r="AD32" s="32"/>
      <c r="AE32" s="32"/>
      <c r="AF32" s="32"/>
      <c r="AG32" s="47"/>
      <c r="AI32" s="32"/>
      <c r="AJ32" s="101"/>
      <c r="AK32" s="214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3"/>
      <c r="AD33" s="32"/>
      <c r="AE33" s="32"/>
      <c r="AF33" s="32"/>
      <c r="AG33" s="47"/>
      <c r="AI33" s="32"/>
      <c r="AJ33" s="101"/>
      <c r="AK33" s="214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3"/>
      <c r="AD34" s="32"/>
      <c r="AE34" s="32"/>
      <c r="AF34" s="32"/>
      <c r="AG34" s="47"/>
      <c r="AI34" s="32"/>
      <c r="AJ34" s="101"/>
      <c r="AK34" s="214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3"/>
      <c r="AD35" s="32"/>
      <c r="AE35" s="32"/>
      <c r="AF35" s="32"/>
      <c r="AG35" s="47"/>
      <c r="AI35" s="32"/>
      <c r="AJ35" s="101"/>
      <c r="AK35" s="214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3"/>
      <c r="AD36" s="32"/>
      <c r="AE36" s="32"/>
      <c r="AF36" s="32"/>
      <c r="AG36" s="47"/>
      <c r="AI36" s="32"/>
      <c r="AJ36" s="101"/>
      <c r="AK36" s="214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-21572</v>
      </c>
      <c r="C37" s="24">
        <f t="shared" si="1"/>
        <v>-16628</v>
      </c>
      <c r="D37" s="24">
        <f t="shared" si="1"/>
        <v>-3</v>
      </c>
      <c r="E37" s="24">
        <f t="shared" si="1"/>
        <v>-250</v>
      </c>
      <c r="F37" s="24">
        <f t="shared" si="1"/>
        <v>0</v>
      </c>
      <c r="G37" s="24">
        <f t="shared" si="1"/>
        <v>-300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4697</v>
      </c>
      <c r="U37" s="32"/>
      <c r="X37" s="14"/>
      <c r="Y37" s="14"/>
      <c r="Z37" s="14"/>
      <c r="AA37" s="75"/>
      <c r="AB37" s="15"/>
      <c r="AC37" s="203"/>
      <c r="AD37" s="32"/>
      <c r="AE37" s="32"/>
      <c r="AF37" s="32"/>
      <c r="AG37" s="47"/>
      <c r="AI37" s="32"/>
      <c r="AJ37" s="101"/>
      <c r="AK37" s="214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8"/>
      <c r="P38" s="104">
        <f>+summary!H4</f>
        <v>2.02</v>
      </c>
      <c r="U38" s="32"/>
      <c r="X38" s="14"/>
      <c r="Y38" s="14"/>
      <c r="Z38" s="14"/>
      <c r="AA38" s="75"/>
      <c r="AB38" s="15"/>
      <c r="AC38" s="203"/>
      <c r="AD38" s="32"/>
      <c r="AE38" s="32"/>
      <c r="AF38" s="32"/>
      <c r="AG38" s="47"/>
      <c r="AI38" s="32"/>
      <c r="AJ38" s="101"/>
      <c r="AK38" s="214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60"/>
      <c r="P39" s="104">
        <f>+P38*P37</f>
        <v>9487.94</v>
      </c>
      <c r="U39" s="32"/>
      <c r="X39" s="14"/>
      <c r="Y39" s="14"/>
      <c r="Z39" s="14"/>
      <c r="AA39" s="14"/>
      <c r="AC39" s="203"/>
      <c r="AD39" s="32"/>
      <c r="AE39" s="32"/>
      <c r="AF39" s="32"/>
      <c r="AG39" s="47"/>
      <c r="AI39" s="32"/>
      <c r="AJ39" s="101"/>
      <c r="AK39" s="214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8">
        <v>37225</v>
      </c>
      <c r="E40" s="14"/>
      <c r="O40" s="460"/>
      <c r="P40" s="565">
        <v>102894.9</v>
      </c>
      <c r="U40" s="32"/>
      <c r="X40" s="14"/>
      <c r="Y40" s="14"/>
      <c r="Z40" s="14"/>
      <c r="AA40" s="14"/>
      <c r="AC40" s="203"/>
      <c r="AD40" s="32"/>
      <c r="AE40" s="32"/>
      <c r="AF40" s="32"/>
      <c r="AG40" s="47"/>
      <c r="AI40" s="32"/>
      <c r="AJ40" s="101"/>
      <c r="AK40" s="214"/>
      <c r="AL40" s="24"/>
      <c r="AM40" s="24"/>
      <c r="AN40" s="106"/>
      <c r="AO40" s="143"/>
      <c r="AP40" s="15"/>
      <c r="AQ40" s="47"/>
    </row>
    <row r="41" spans="1:43" ht="18" customHeight="1" x14ac:dyDescent="0.2">
      <c r="A41" s="408">
        <v>37235</v>
      </c>
      <c r="E41" s="14"/>
      <c r="O41" s="460"/>
      <c r="P41" s="104">
        <f>+P40+P39</f>
        <v>112382.84</v>
      </c>
      <c r="U41" s="32"/>
      <c r="X41" s="14"/>
      <c r="Y41" s="14"/>
      <c r="Z41" s="14"/>
      <c r="AA41" s="14"/>
      <c r="AC41" s="203"/>
      <c r="AD41" s="32"/>
      <c r="AE41" s="32"/>
      <c r="AF41" s="32"/>
      <c r="AG41" s="47"/>
      <c r="AI41" s="32"/>
      <c r="AJ41" s="101"/>
      <c r="AK41" s="214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8"/>
      <c r="E42" s="209"/>
      <c r="N42" s="206"/>
      <c r="O42" s="208"/>
      <c r="U42" s="32"/>
      <c r="X42" s="14"/>
      <c r="Y42" s="14"/>
      <c r="Z42" s="14"/>
      <c r="AA42" s="14"/>
      <c r="AC42" s="203"/>
      <c r="AD42" s="32"/>
      <c r="AE42" s="32"/>
      <c r="AF42" s="32"/>
      <c r="AG42" s="47"/>
      <c r="AI42" s="32"/>
      <c r="AJ42" s="101"/>
      <c r="AK42" s="214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7"/>
      <c r="E43" s="209"/>
      <c r="N43" s="206"/>
      <c r="O43" s="208"/>
      <c r="U43" s="32"/>
      <c r="X43" s="14"/>
      <c r="Y43" s="14"/>
      <c r="Z43" s="14"/>
      <c r="AA43" s="14"/>
      <c r="AC43" s="203"/>
      <c r="AD43" s="32"/>
      <c r="AE43" s="32"/>
      <c r="AF43" s="32"/>
      <c r="AG43" s="47"/>
      <c r="AI43" s="32"/>
      <c r="AJ43" s="101"/>
      <c r="AK43" s="214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7"/>
      <c r="E44" s="209"/>
      <c r="N44" s="206"/>
      <c r="O44" s="208"/>
      <c r="U44" s="32"/>
      <c r="Y44" s="32"/>
      <c r="AC44" s="203"/>
      <c r="AD44" s="32"/>
      <c r="AE44" s="32"/>
      <c r="AF44" s="32"/>
      <c r="AG44" s="47"/>
      <c r="AI44" s="32"/>
      <c r="AJ44" s="101"/>
      <c r="AK44" s="214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9"/>
      <c r="N45" s="206"/>
      <c r="O45" s="208"/>
      <c r="U45" s="32"/>
      <c r="Y45" s="32"/>
      <c r="AC45" s="203"/>
      <c r="AD45" s="32"/>
      <c r="AE45" s="32"/>
      <c r="AF45" s="32"/>
      <c r="AG45" s="47"/>
      <c r="AI45" s="32"/>
      <c r="AJ45" s="101"/>
      <c r="AK45" s="214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57">
        <v>43028</v>
      </c>
      <c r="E46" s="209"/>
      <c r="F46" s="206"/>
      <c r="G46" s="208"/>
      <c r="AB46" s="101"/>
      <c r="AC46" s="214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37235</v>
      </c>
      <c r="B47" s="32"/>
      <c r="C47" s="32"/>
      <c r="D47" s="363">
        <f>+P37</f>
        <v>4697</v>
      </c>
      <c r="E47" s="209"/>
      <c r="F47" s="206"/>
      <c r="G47" s="208"/>
      <c r="AB47" s="101"/>
      <c r="AC47" s="214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47725</v>
      </c>
      <c r="E48" s="209"/>
      <c r="F48" s="206"/>
      <c r="G48" s="208"/>
      <c r="AB48" s="101"/>
      <c r="AC48" s="214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9"/>
      <c r="F49" s="206"/>
      <c r="G49" s="208"/>
      <c r="AB49" s="101"/>
      <c r="AC49" s="214"/>
      <c r="AD49" s="24"/>
      <c r="AE49" s="24"/>
      <c r="AF49" s="106"/>
      <c r="AG49" s="143"/>
      <c r="AH49" s="15"/>
    </row>
    <row r="50" spans="1:34" ht="18" customHeight="1" x14ac:dyDescent="0.2">
      <c r="C50" s="215"/>
      <c r="D50" s="208"/>
      <c r="E50" s="209"/>
      <c r="F50" s="206"/>
      <c r="G50" s="208"/>
      <c r="AB50" s="101"/>
      <c r="AC50" s="214"/>
      <c r="AD50" s="24"/>
      <c r="AE50" s="24"/>
      <c r="AF50" s="106"/>
      <c r="AG50" s="219"/>
      <c r="AH50" s="15"/>
    </row>
    <row r="51" spans="1:34" ht="21.9" customHeight="1" thickBot="1" x14ac:dyDescent="0.25">
      <c r="C51" s="210"/>
      <c r="D51" s="208"/>
      <c r="AB51" s="101"/>
      <c r="AC51" s="214"/>
      <c r="AD51" s="24"/>
      <c r="AE51" s="24"/>
      <c r="AF51" s="106"/>
      <c r="AG51" s="220"/>
    </row>
    <row r="52" spans="1:34" ht="18" customHeight="1" thickTop="1" x14ac:dyDescent="0.2">
      <c r="AB52" s="101"/>
      <c r="AC52" s="214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21"/>
    </row>
    <row r="55" spans="1:34" ht="17.100000000000001" customHeight="1" x14ac:dyDescent="0.2">
      <c r="AB55" s="221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3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3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3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3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3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3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3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3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3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3"/>
      <c r="AD68" s="24"/>
      <c r="AE68" s="24"/>
      <c r="AF68" s="24"/>
      <c r="AG68" s="143"/>
      <c r="AH68" s="104"/>
    </row>
    <row r="69" spans="1:34" ht="18" customHeight="1" x14ac:dyDescent="0.2">
      <c r="C69" s="222"/>
      <c r="D69" s="24"/>
      <c r="P69" s="14"/>
      <c r="Q69" s="14"/>
      <c r="R69" s="14"/>
      <c r="S69" s="14"/>
      <c r="AB69" s="101"/>
      <c r="AC69" s="213"/>
      <c r="AD69" s="24"/>
      <c r="AE69" s="24"/>
      <c r="AF69" s="24"/>
      <c r="AG69" s="143"/>
      <c r="AH69" s="104"/>
    </row>
    <row r="70" spans="1:34" ht="18" customHeight="1" x14ac:dyDescent="0.2">
      <c r="B70" s="32"/>
      <c r="C70" s="202"/>
      <c r="P70" s="14"/>
      <c r="Q70" s="14"/>
      <c r="R70" s="14"/>
      <c r="S70" s="14"/>
      <c r="AB70" s="101"/>
      <c r="AC70" s="213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3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3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2"/>
      <c r="P73" s="14"/>
      <c r="Q73" s="14"/>
      <c r="R73" s="14"/>
      <c r="S73" s="14"/>
      <c r="AB73" s="101"/>
      <c r="AC73" s="213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2"/>
      <c r="P74" s="14"/>
      <c r="Q74" s="14"/>
      <c r="R74" s="14"/>
      <c r="S74" s="14"/>
      <c r="AB74" s="101"/>
      <c r="AC74" s="213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3"/>
      <c r="AD75" s="24"/>
      <c r="AE75" s="24"/>
      <c r="AF75" s="24"/>
      <c r="AG75" s="143"/>
      <c r="AH75" s="104"/>
    </row>
    <row r="76" spans="1:34" ht="18" customHeight="1" x14ac:dyDescent="0.2">
      <c r="C76" s="223"/>
      <c r="D76" s="24"/>
      <c r="P76" s="14"/>
      <c r="Q76" s="14"/>
      <c r="R76" s="14"/>
      <c r="S76" s="14"/>
      <c r="AB76" s="101"/>
      <c r="AC76" s="213"/>
      <c r="AD76" s="24"/>
      <c r="AE76" s="24"/>
      <c r="AF76" s="24"/>
      <c r="AG76" s="143"/>
      <c r="AH76" s="104"/>
    </row>
    <row r="77" spans="1:34" ht="18" customHeight="1" x14ac:dyDescent="0.2">
      <c r="C77" s="223"/>
      <c r="D77" s="24"/>
      <c r="P77" s="14"/>
      <c r="Q77" s="14"/>
      <c r="R77" s="14"/>
      <c r="S77" s="14"/>
      <c r="AB77" s="101"/>
      <c r="AC77" s="213"/>
      <c r="AD77" s="24"/>
      <c r="AE77" s="24"/>
      <c r="AF77" s="24"/>
      <c r="AG77" s="143"/>
      <c r="AH77" s="104"/>
    </row>
    <row r="78" spans="1:34" ht="18" customHeight="1" x14ac:dyDescent="0.2">
      <c r="C78" s="224"/>
      <c r="D78" s="24"/>
      <c r="P78" s="14"/>
      <c r="Q78" s="14"/>
      <c r="R78" s="14"/>
      <c r="S78" s="14"/>
      <c r="AB78" s="101"/>
      <c r="AC78" s="213"/>
      <c r="AD78" s="24"/>
      <c r="AE78" s="24"/>
      <c r="AF78" s="24"/>
      <c r="AG78" s="143"/>
      <c r="AH78" s="104"/>
    </row>
    <row r="79" spans="1:34" ht="18" customHeight="1" x14ac:dyDescent="0.2">
      <c r="C79" s="225"/>
      <c r="P79" s="14"/>
      <c r="Q79" s="14"/>
      <c r="R79" s="14"/>
      <c r="S79" s="14"/>
      <c r="AB79" s="101"/>
      <c r="AC79" s="213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3"/>
      <c r="AD80" s="24"/>
      <c r="AE80" s="24"/>
      <c r="AF80" s="24"/>
      <c r="AG80" s="143"/>
      <c r="AH80" s="104"/>
    </row>
    <row r="81" spans="3:34" ht="18" customHeight="1" x14ac:dyDescent="0.2">
      <c r="C81" s="222"/>
      <c r="D81" s="24"/>
      <c r="P81" s="14"/>
      <c r="Q81" s="14"/>
      <c r="R81" s="14"/>
      <c r="S81" s="14"/>
      <c r="AB81" s="101"/>
      <c r="AC81" s="213"/>
      <c r="AD81" s="24"/>
      <c r="AE81" s="24"/>
      <c r="AF81" s="24"/>
      <c r="AG81" s="143"/>
      <c r="AH81" s="104"/>
    </row>
    <row r="82" spans="3:34" ht="18" customHeight="1" x14ac:dyDescent="0.2">
      <c r="C82" s="226"/>
      <c r="D82" s="24"/>
      <c r="P82" s="14"/>
      <c r="Q82" s="14"/>
      <c r="R82" s="14"/>
      <c r="S82" s="14"/>
      <c r="AB82" s="101"/>
      <c r="AC82" s="213"/>
      <c r="AD82" s="24"/>
      <c r="AE82" s="24"/>
      <c r="AF82" s="24"/>
      <c r="AG82" s="143"/>
      <c r="AH82" s="104"/>
    </row>
    <row r="83" spans="3:34" ht="18" customHeight="1" x14ac:dyDescent="0.2">
      <c r="C83" s="226"/>
      <c r="D83" s="24"/>
      <c r="P83" s="14"/>
      <c r="Q83" s="14"/>
      <c r="R83" s="14"/>
      <c r="S83" s="14"/>
      <c r="AB83" s="101"/>
      <c r="AC83" s="213"/>
      <c r="AD83" s="24"/>
      <c r="AE83" s="24"/>
      <c r="AF83" s="24"/>
      <c r="AG83" s="143"/>
      <c r="AH83" s="162"/>
    </row>
    <row r="84" spans="3:34" ht="24.9" customHeight="1" thickBot="1" x14ac:dyDescent="0.25">
      <c r="C84" s="227"/>
      <c r="D84" s="24"/>
      <c r="P84" s="14"/>
      <c r="Q84" s="14"/>
      <c r="R84" s="14"/>
      <c r="S84" s="14"/>
      <c r="AB84" s="221"/>
      <c r="AC84" s="213"/>
      <c r="AD84" s="24"/>
      <c r="AE84" s="24"/>
      <c r="AF84" s="24"/>
      <c r="AG84" s="143"/>
      <c r="AH84" s="228"/>
    </row>
    <row r="85" spans="3:34" ht="15" customHeight="1" thickTop="1" x14ac:dyDescent="0.2">
      <c r="C85" s="225"/>
      <c r="P85" s="14"/>
      <c r="Q85" s="14"/>
      <c r="R85" s="14"/>
      <c r="S85" s="14"/>
      <c r="AB85" s="101"/>
      <c r="AC85" s="214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21"/>
      <c r="AC86" s="214"/>
      <c r="AD86" s="24"/>
      <c r="AE86" s="24"/>
      <c r="AF86" s="24"/>
      <c r="AG86" s="143"/>
      <c r="AH86" s="15"/>
    </row>
    <row r="87" spans="3:34" ht="24.9" customHeight="1" thickBot="1" x14ac:dyDescent="0.25">
      <c r="C87" s="229"/>
      <c r="P87" s="14"/>
      <c r="Q87" s="14"/>
      <c r="R87" s="14"/>
      <c r="S87" s="14"/>
      <c r="AB87" s="230"/>
      <c r="AC87" s="231"/>
      <c r="AD87" s="150"/>
      <c r="AE87" s="150"/>
      <c r="AF87" s="150"/>
      <c r="AG87" s="232"/>
      <c r="AH87" s="215"/>
    </row>
    <row r="88" spans="3:34" ht="24.9" customHeight="1" thickTop="1" x14ac:dyDescent="0.2">
      <c r="C88" s="226"/>
      <c r="D88" s="24"/>
      <c r="P88" s="14"/>
      <c r="Q88" s="14"/>
      <c r="R88" s="14"/>
      <c r="S88" s="14"/>
      <c r="AB88" s="38"/>
      <c r="AH88" s="215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4"/>
      <c r="Q89" s="101"/>
      <c r="R89" s="233"/>
      <c r="S89" s="24"/>
      <c r="T89" s="24"/>
      <c r="AB89" s="234"/>
      <c r="AH89" s="215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4"/>
      <c r="AH90" s="215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4"/>
      <c r="AH91" s="206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4"/>
      <c r="AH92" s="206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4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4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4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4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5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5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5"/>
      <c r="AB101" s="12"/>
      <c r="AC101" s="213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4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6"/>
      <c r="AB103" s="101"/>
      <c r="AC103" s="214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5"/>
      <c r="AB104" s="101"/>
      <c r="AC104" s="214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5"/>
      <c r="AB105" s="101"/>
      <c r="AC105" s="214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5"/>
      <c r="AB106" s="101"/>
      <c r="AC106" s="214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4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4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4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4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4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4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4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4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4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4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4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4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4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4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4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4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4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4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4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3"/>
      <c r="S126" s="24"/>
      <c r="T126" s="24"/>
      <c r="V126" s="53"/>
      <c r="AB126" s="101"/>
      <c r="AC126" s="214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4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4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4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4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5"/>
      <c r="AB131" s="101"/>
      <c r="AC131" s="214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5"/>
      <c r="AB132" s="101"/>
      <c r="AC132" s="214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4"/>
      <c r="AD133" s="24"/>
      <c r="AE133" s="24"/>
      <c r="AF133" s="24"/>
      <c r="AG133" s="143"/>
      <c r="AH133" s="104"/>
    </row>
    <row r="134" spans="1:34" ht="21.9" customHeight="1" x14ac:dyDescent="0.3">
      <c r="C134" s="226"/>
      <c r="D134" s="238"/>
      <c r="E134" s="110"/>
      <c r="F134" s="2"/>
      <c r="G134" s="24"/>
      <c r="P134" s="14"/>
      <c r="Q134" s="12"/>
      <c r="R134" s="24"/>
      <c r="S134" s="24"/>
      <c r="T134" s="24"/>
      <c r="V134" s="235"/>
      <c r="AB134" s="101"/>
      <c r="AC134" s="214"/>
      <c r="AD134" s="24"/>
      <c r="AE134" s="24"/>
      <c r="AF134" s="24"/>
      <c r="AG134" s="143"/>
      <c r="AH134" s="104"/>
    </row>
    <row r="135" spans="1:34" ht="21.9" customHeight="1" x14ac:dyDescent="0.3">
      <c r="C135" s="239"/>
      <c r="D135" s="128"/>
      <c r="E135" s="110"/>
      <c r="F135" s="2"/>
      <c r="G135" s="24"/>
      <c r="P135" s="14"/>
      <c r="Q135" s="12"/>
      <c r="R135" s="24"/>
      <c r="S135" s="24"/>
      <c r="T135" s="24"/>
      <c r="V135" s="235"/>
      <c r="AB135" s="101"/>
      <c r="AC135" s="214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4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5"/>
      <c r="AB137" s="101"/>
      <c r="AC137" s="214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4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4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5"/>
      <c r="AB140" s="101"/>
      <c r="AC140" s="214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5"/>
      <c r="AB141" s="101"/>
      <c r="AC141" s="214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4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4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4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4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4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4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4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4"/>
      <c r="AD149" s="24"/>
      <c r="AE149" s="240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4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4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4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4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4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4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4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4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4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4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4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4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4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4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4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4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4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3"/>
      <c r="R167" s="24"/>
      <c r="S167" s="24"/>
      <c r="AB167" s="101"/>
      <c r="AC167" s="214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4"/>
      <c r="AD168" s="240"/>
      <c r="AE168" s="240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41"/>
      <c r="Z169" s="87"/>
      <c r="AA169" s="87"/>
      <c r="AB169" s="101"/>
      <c r="AC169" s="214"/>
      <c r="AD169" s="240"/>
      <c r="AE169" s="240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41"/>
      <c r="Z170" s="87"/>
      <c r="AA170" s="87"/>
      <c r="AB170" s="101"/>
      <c r="AC170" s="214"/>
      <c r="AD170" s="240"/>
      <c r="AE170" s="240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41"/>
      <c r="Z171" s="87"/>
      <c r="AA171" s="87"/>
      <c r="AB171" s="101"/>
      <c r="AC171" s="214"/>
      <c r="AD171" s="240"/>
      <c r="AE171" s="240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41"/>
      <c r="Z172" s="87"/>
      <c r="AA172" s="87"/>
      <c r="AB172" s="101"/>
      <c r="AC172" s="214"/>
      <c r="AD172" s="24"/>
      <c r="AE172" s="240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41"/>
      <c r="Z173" s="87"/>
      <c r="AA173" s="87"/>
      <c r="AB173" s="101"/>
      <c r="AC173" s="214"/>
      <c r="AD173" s="240"/>
      <c r="AE173" s="240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41"/>
      <c r="Z174" s="87"/>
      <c r="AA174" s="87"/>
      <c r="AB174" s="101"/>
      <c r="AC174" s="214"/>
      <c r="AD174" s="240"/>
      <c r="AE174" s="240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41"/>
      <c r="Z175" s="87"/>
      <c r="AA175" s="87"/>
      <c r="AB175" s="101"/>
      <c r="AC175" s="214"/>
      <c r="AD175" s="24"/>
      <c r="AE175" s="240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41"/>
      <c r="Z176" s="87"/>
      <c r="AA176" s="87"/>
      <c r="AB176" s="101"/>
      <c r="AC176" s="214"/>
      <c r="AD176" s="24"/>
      <c r="AE176" s="240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41"/>
      <c r="Z177" s="87"/>
      <c r="AA177" s="87"/>
      <c r="AB177" s="101"/>
      <c r="AC177" s="214"/>
      <c r="AD177" s="24"/>
      <c r="AE177" s="240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41"/>
      <c r="Z178" s="87"/>
      <c r="AA178" s="87"/>
      <c r="AB178" s="101"/>
      <c r="AC178" s="214"/>
      <c r="AD178" s="24"/>
      <c r="AE178" s="240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41"/>
      <c r="Z179" s="87"/>
      <c r="AA179" s="87"/>
      <c r="AB179" s="101"/>
      <c r="AC179" s="214"/>
      <c r="AD179" s="24"/>
      <c r="AE179" s="240"/>
      <c r="AF179" s="24"/>
      <c r="AG179" s="143"/>
      <c r="AH179" s="104"/>
    </row>
    <row r="180" spans="2:34" ht="15" customHeight="1" x14ac:dyDescent="0.2">
      <c r="C180" s="226"/>
      <c r="D180" s="238"/>
      <c r="E180" s="110"/>
      <c r="P180" s="12"/>
      <c r="Q180" s="24"/>
      <c r="R180" s="24"/>
      <c r="S180" s="24"/>
      <c r="V180" s="87"/>
      <c r="W180" s="87"/>
      <c r="X180" s="87"/>
      <c r="Y180" s="241"/>
      <c r="Z180" s="87"/>
      <c r="AA180" s="87"/>
      <c r="AB180" s="101"/>
      <c r="AC180" s="214"/>
      <c r="AD180" s="24"/>
      <c r="AE180" s="240"/>
      <c r="AF180" s="24"/>
      <c r="AG180" s="143"/>
      <c r="AH180" s="104"/>
    </row>
    <row r="181" spans="2:34" ht="15" customHeight="1" x14ac:dyDescent="0.2">
      <c r="C181" s="226"/>
      <c r="D181" s="238"/>
      <c r="E181" s="110"/>
      <c r="P181" s="12"/>
      <c r="Q181" s="24"/>
      <c r="R181" s="24"/>
      <c r="S181" s="24"/>
      <c r="V181" s="87"/>
      <c r="W181" s="87"/>
      <c r="X181" s="87"/>
      <c r="Y181" s="241"/>
      <c r="Z181" s="87"/>
      <c r="AA181" s="87"/>
      <c r="AB181" s="101"/>
      <c r="AC181" s="214"/>
      <c r="AD181" s="24"/>
      <c r="AE181" s="240"/>
      <c r="AF181" s="24"/>
      <c r="AG181" s="143"/>
      <c r="AH181" s="104"/>
    </row>
    <row r="182" spans="2:34" ht="15" customHeight="1" x14ac:dyDescent="0.2">
      <c r="C182" s="226"/>
      <c r="D182" s="238"/>
      <c r="E182" s="110"/>
      <c r="P182" s="12"/>
      <c r="Q182" s="24"/>
      <c r="R182" s="24"/>
      <c r="S182" s="24"/>
      <c r="V182" s="87"/>
      <c r="W182" s="87"/>
      <c r="X182" s="87"/>
      <c r="Y182" s="241"/>
      <c r="Z182" s="87"/>
      <c r="AA182" s="87"/>
      <c r="AB182" s="101"/>
      <c r="AC182" s="214"/>
      <c r="AD182" s="24"/>
      <c r="AE182" s="240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41"/>
      <c r="Z183" s="87"/>
      <c r="AA183" s="87"/>
      <c r="AB183" s="101"/>
      <c r="AC183" s="214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41"/>
      <c r="Z184" s="87"/>
      <c r="AA184" s="87"/>
      <c r="AB184" s="101"/>
      <c r="AC184" s="214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41"/>
      <c r="Z185" s="87"/>
      <c r="AA185" s="87"/>
      <c r="AB185" s="101"/>
      <c r="AC185" s="214"/>
      <c r="AD185" s="24"/>
      <c r="AE185" s="240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41"/>
      <c r="Z186" s="87"/>
      <c r="AA186" s="87"/>
      <c r="AB186" s="101"/>
      <c r="AC186" s="214"/>
      <c r="AD186" s="24"/>
      <c r="AE186" s="240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41"/>
      <c r="Z187" s="87"/>
      <c r="AA187" s="87"/>
      <c r="AB187" s="101"/>
      <c r="AC187" s="214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41"/>
      <c r="Z188" s="87"/>
      <c r="AA188" s="87"/>
      <c r="AB188" s="101"/>
      <c r="AC188" s="214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41"/>
      <c r="Z189" s="87"/>
      <c r="AA189" s="87"/>
      <c r="AB189" s="101"/>
      <c r="AC189" s="214"/>
      <c r="AD189" s="240"/>
      <c r="AE189" s="240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41"/>
      <c r="Z190" s="87"/>
      <c r="AA190" s="87"/>
      <c r="AB190" s="101"/>
      <c r="AC190" s="214"/>
      <c r="AD190" s="240"/>
      <c r="AE190" s="240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41"/>
      <c r="Z191" s="87"/>
      <c r="AA191" s="87"/>
      <c r="AB191" s="101"/>
      <c r="AC191" s="214"/>
      <c r="AD191" s="240"/>
      <c r="AE191" s="240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41"/>
      <c r="Z192" s="87"/>
      <c r="AA192" s="87"/>
      <c r="AB192" s="101"/>
      <c r="AC192" s="214"/>
      <c r="AD192" s="240"/>
      <c r="AE192" s="240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41"/>
      <c r="Z193" s="87"/>
      <c r="AA193" s="87"/>
      <c r="AB193" s="101"/>
      <c r="AC193" s="214"/>
      <c r="AD193" s="24"/>
      <c r="AE193" s="240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41"/>
      <c r="Z194" s="87"/>
      <c r="AA194" s="87"/>
      <c r="AB194" s="101"/>
      <c r="AC194" s="214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41"/>
      <c r="Z195" s="87"/>
      <c r="AA195" s="87"/>
      <c r="AB195" s="101"/>
      <c r="AC195" s="214"/>
      <c r="AD195" s="240"/>
      <c r="AE195" s="240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41"/>
      <c r="Z196" s="87"/>
      <c r="AA196" s="87"/>
      <c r="AB196" s="101"/>
      <c r="AC196" s="214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41"/>
      <c r="Z197" s="87"/>
      <c r="AA197" s="87"/>
      <c r="AB197" s="101"/>
      <c r="AC197" s="214"/>
      <c r="AD197" s="240"/>
      <c r="AE197" s="240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4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4"/>
      <c r="AD199" s="240"/>
      <c r="AE199" s="240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4"/>
      <c r="AD200" s="24"/>
      <c r="AE200" s="240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4"/>
      <c r="AD201" s="240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4"/>
      <c r="AD202" s="240"/>
      <c r="AE202" s="240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4"/>
      <c r="AD203" s="240"/>
      <c r="AE203" s="240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4"/>
      <c r="AD204" s="240"/>
      <c r="AE204" s="240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4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4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3"/>
      <c r="R207" s="24"/>
      <c r="S207" s="24"/>
      <c r="AB207" s="101"/>
      <c r="AC207" s="214"/>
      <c r="AD207" s="240"/>
      <c r="AE207" s="240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4"/>
      <c r="AD208" s="240"/>
      <c r="AE208" s="240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4"/>
      <c r="AD209" s="240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4"/>
      <c r="AD210" s="240"/>
      <c r="AE210" s="240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4"/>
      <c r="AD211" s="240"/>
      <c r="AE211" s="240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4"/>
      <c r="AD212" s="240"/>
      <c r="AE212" s="240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4"/>
      <c r="AD213" s="240"/>
      <c r="AE213" s="240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4"/>
      <c r="AD214" s="24"/>
      <c r="AE214" s="240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4"/>
      <c r="AD215" s="24"/>
      <c r="AE215" s="238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4"/>
      <c r="AD216" s="24"/>
      <c r="AE216" s="238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4"/>
      <c r="AD217" s="238"/>
      <c r="AE217" s="238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4"/>
      <c r="AD218" s="242"/>
      <c r="AE218" s="242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4"/>
      <c r="AD219" s="242"/>
      <c r="AE219" s="242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4"/>
      <c r="AD220" s="242"/>
      <c r="AE220" s="242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4"/>
      <c r="AD221" s="24"/>
      <c r="AE221" s="242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4"/>
      <c r="AD222" s="24"/>
      <c r="AE222" s="240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4"/>
      <c r="AD223" s="24"/>
      <c r="AE223" s="240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4"/>
      <c r="AD224" s="24"/>
      <c r="AE224" s="240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4"/>
      <c r="AD225" s="238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4"/>
      <c r="AD226" s="238"/>
      <c r="AE226" s="238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4"/>
      <c r="AD227" s="238"/>
      <c r="AE227" s="238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4"/>
      <c r="AD228" s="238"/>
      <c r="AE228" s="238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4"/>
      <c r="AD229" s="238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4"/>
      <c r="AD230" s="238"/>
      <c r="AE230" s="242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4"/>
      <c r="AD231" s="238"/>
      <c r="AE231" s="242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4"/>
      <c r="AD232" s="238"/>
      <c r="AE232" s="242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4"/>
      <c r="AD233" s="24"/>
      <c r="AE233" s="240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4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4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4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4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4"/>
      <c r="AD238" s="238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4"/>
      <c r="AD239" s="238"/>
      <c r="AE239" s="243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4"/>
      <c r="AD240" s="238"/>
      <c r="AE240" s="243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4"/>
      <c r="AD241" s="238"/>
      <c r="AE241" s="243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4"/>
      <c r="AD242" s="238"/>
      <c r="AE242" s="242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4"/>
      <c r="AD243" s="238"/>
      <c r="AE243" s="243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4"/>
      <c r="AD244" s="238"/>
      <c r="AE244" s="242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4"/>
      <c r="AD245" s="238"/>
      <c r="AE245" s="242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4"/>
      <c r="AD246" s="24"/>
      <c r="AE246" s="240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4"/>
      <c r="AD247" s="244"/>
      <c r="AE247" s="245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4"/>
      <c r="AD248" s="244"/>
      <c r="AE248" s="244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4"/>
      <c r="AD249" s="246"/>
      <c r="AE249" s="243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4"/>
      <c r="AD250" s="246"/>
      <c r="AE250" s="243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4"/>
      <c r="AD251" s="244"/>
      <c r="AE251" s="244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4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4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4"/>
      <c r="AD254" s="240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4"/>
      <c r="AD255" s="244"/>
      <c r="AE255" s="242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4"/>
      <c r="AD256" s="244"/>
      <c r="AE256" s="244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4"/>
      <c r="AD257" s="246"/>
      <c r="AE257" s="243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4"/>
      <c r="AD258" s="244"/>
      <c r="AE258" s="244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4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4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4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4"/>
      <c r="AD262" s="240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4"/>
      <c r="AD263" s="246"/>
      <c r="AE263" s="245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4"/>
      <c r="AD264" s="244"/>
      <c r="AE264" s="244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4"/>
      <c r="AD265" s="244"/>
      <c r="AE265" s="244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4"/>
      <c r="AD266" s="24"/>
      <c r="AE266" s="240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4"/>
      <c r="AD267" s="24"/>
      <c r="AE267" s="240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4"/>
      <c r="AD268" s="24"/>
      <c r="AE268" s="240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4"/>
      <c r="AD269" s="24"/>
      <c r="AE269" s="240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4"/>
      <c r="AD270" s="240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4"/>
      <c r="AD271" s="246"/>
      <c r="AE271" s="242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4"/>
      <c r="AD272" s="246"/>
      <c r="AE272" s="244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4"/>
      <c r="AD273" s="244"/>
      <c r="AE273" s="244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4"/>
      <c r="AD274" s="24"/>
      <c r="AE274" s="240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4"/>
      <c r="AD275" s="24"/>
      <c r="AE275" s="240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4"/>
      <c r="AD276" s="240"/>
      <c r="AE276" s="240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4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4"/>
      <c r="AD278" s="246"/>
      <c r="AE278" s="245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4"/>
      <c r="AD279" s="246"/>
      <c r="AE279" s="243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4"/>
      <c r="AD280" s="246"/>
      <c r="AE280" s="243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4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4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4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4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4"/>
      <c r="AD285" s="24"/>
      <c r="AE285" s="240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4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4"/>
      <c r="AD287" s="24"/>
      <c r="AE287" s="240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4"/>
      <c r="AD288" s="24"/>
      <c r="AE288" s="240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4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4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4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4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4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4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4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4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4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4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4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4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4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4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4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4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4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4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4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4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4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4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4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4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4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4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4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4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4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4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4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4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4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4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4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4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4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4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4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4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4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4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4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4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4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4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4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4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4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4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4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4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4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4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4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4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4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4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4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4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4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4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4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4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4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4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4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21"/>
      <c r="AC356" s="214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4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4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4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4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4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4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4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4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4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4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4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4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4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4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4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4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4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4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21"/>
      <c r="AC375" s="214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4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4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4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4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4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4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4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4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4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4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4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4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4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4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4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4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3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3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3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3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3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3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3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3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3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3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3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3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3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3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3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3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3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3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3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3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3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3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3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3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3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3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3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3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3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3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3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3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3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3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3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3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3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3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3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3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3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3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3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3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3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3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3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3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3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3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3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3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3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3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3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3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3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3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3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3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3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3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3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3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3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3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3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3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3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3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3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3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3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3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3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3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3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3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3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3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3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3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3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3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3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3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3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3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3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3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3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3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3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3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3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3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3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3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3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3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3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3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3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3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3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3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3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3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3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3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3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3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3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3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3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3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3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3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3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3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3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3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3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3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3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3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3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3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3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3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3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3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3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3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3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3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3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3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3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3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3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3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3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3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3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3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3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3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3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3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3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3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3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3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3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3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3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3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3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3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3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3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3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3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3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3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3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3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3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3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3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3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3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3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3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3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3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3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3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3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3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3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3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3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3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3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3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3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3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3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3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3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3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3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3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3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3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3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3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3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3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3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3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3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3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3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3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3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3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3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3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3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3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3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3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3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3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3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3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3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3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3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3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3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3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3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3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3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3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3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3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3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3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3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3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3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3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3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9" workbookViewId="0">
      <selection activeCell="D40" sqref="D4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313</v>
      </c>
      <c r="C3" s="87"/>
      <c r="D3" s="87"/>
    </row>
    <row r="4" spans="1:4" x14ac:dyDescent="0.25">
      <c r="A4" s="3"/>
      <c r="B4" s="339" t="s">
        <v>312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-13990</v>
      </c>
      <c r="C6" s="11">
        <v>-14000</v>
      </c>
      <c r="D6" s="25">
        <f>+C6-B6</f>
        <v>-10</v>
      </c>
    </row>
    <row r="7" spans="1:4" x14ac:dyDescent="0.25">
      <c r="A7" s="10">
        <v>2</v>
      </c>
      <c r="B7" s="11">
        <v>-13992</v>
      </c>
      <c r="C7" s="11">
        <v>-14000</v>
      </c>
      <c r="D7" s="25">
        <f t="shared" ref="D7:D36" si="0">+C7-B7</f>
        <v>-8</v>
      </c>
    </row>
    <row r="8" spans="1:4" x14ac:dyDescent="0.25">
      <c r="A8" s="10">
        <v>3</v>
      </c>
      <c r="B8" s="129">
        <v>-14009</v>
      </c>
      <c r="C8" s="11">
        <v>-14000</v>
      </c>
      <c r="D8" s="25">
        <f t="shared" si="0"/>
        <v>9</v>
      </c>
    </row>
    <row r="9" spans="1:4" x14ac:dyDescent="0.25">
      <c r="A9" s="10">
        <v>4</v>
      </c>
      <c r="B9" s="129">
        <v>-14013</v>
      </c>
      <c r="C9" s="11">
        <v>-14000</v>
      </c>
      <c r="D9" s="25">
        <f t="shared" si="0"/>
        <v>13</v>
      </c>
    </row>
    <row r="10" spans="1:4" x14ac:dyDescent="0.25">
      <c r="A10" s="10">
        <v>5</v>
      </c>
      <c r="B10" s="129">
        <v>-13999</v>
      </c>
      <c r="C10" s="11">
        <v>-14000</v>
      </c>
      <c r="D10" s="25">
        <f t="shared" si="0"/>
        <v>-1</v>
      </c>
    </row>
    <row r="11" spans="1:4" x14ac:dyDescent="0.25">
      <c r="A11" s="10">
        <v>6</v>
      </c>
      <c r="B11" s="129">
        <v>-13873</v>
      </c>
      <c r="C11" s="11">
        <v>-13944</v>
      </c>
      <c r="D11" s="25">
        <f t="shared" si="0"/>
        <v>-71</v>
      </c>
    </row>
    <row r="12" spans="1:4" x14ac:dyDescent="0.25">
      <c r="A12" s="10">
        <v>7</v>
      </c>
      <c r="B12" s="129">
        <v>-14088</v>
      </c>
      <c r="C12" s="11">
        <v>-13955</v>
      </c>
      <c r="D12" s="25">
        <f t="shared" si="0"/>
        <v>133</v>
      </c>
    </row>
    <row r="13" spans="1:4" x14ac:dyDescent="0.25">
      <c r="A13" s="10">
        <v>8</v>
      </c>
      <c r="B13" s="11">
        <v>-13865</v>
      </c>
      <c r="C13" s="11">
        <v>-14000</v>
      </c>
      <c r="D13" s="25">
        <f t="shared" si="0"/>
        <v>-135</v>
      </c>
    </row>
    <row r="14" spans="1:4" x14ac:dyDescent="0.25">
      <c r="A14" s="10">
        <v>9</v>
      </c>
      <c r="B14" s="11">
        <v>-13897</v>
      </c>
      <c r="C14" s="11">
        <v>-14000</v>
      </c>
      <c r="D14" s="25">
        <f t="shared" si="0"/>
        <v>-103</v>
      </c>
    </row>
    <row r="15" spans="1:4" x14ac:dyDescent="0.25">
      <c r="A15" s="10">
        <v>10</v>
      </c>
      <c r="B15" s="11">
        <v>-13902</v>
      </c>
      <c r="C15" s="11">
        <v>-14000</v>
      </c>
      <c r="D15" s="25">
        <f t="shared" si="0"/>
        <v>-98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-139628</v>
      </c>
      <c r="C37" s="11">
        <f>SUM(C6:C36)</f>
        <v>-139899</v>
      </c>
      <c r="D37" s="25">
        <f>SUM(D6:D36)</f>
        <v>-271</v>
      </c>
    </row>
    <row r="38" spans="1:4" x14ac:dyDescent="0.25">
      <c r="A38" s="26"/>
      <c r="C38" s="14"/>
      <c r="D38" s="337">
        <f>+summary!H4</f>
        <v>2.02</v>
      </c>
    </row>
    <row r="39" spans="1:4" x14ac:dyDescent="0.25">
      <c r="D39" s="138">
        <f>+D38*D37</f>
        <v>-547.41999999999996</v>
      </c>
    </row>
    <row r="40" spans="1:4" x14ac:dyDescent="0.25">
      <c r="A40" s="57">
        <v>37225</v>
      </c>
      <c r="C40" s="15"/>
      <c r="D40" s="567">
        <v>-482.28</v>
      </c>
    </row>
    <row r="41" spans="1:4" x14ac:dyDescent="0.25">
      <c r="A41" s="57">
        <v>37235</v>
      </c>
      <c r="C41" s="48"/>
      <c r="D41" s="138">
        <f>+D40+D39</f>
        <v>-1029.6999999999998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57">
        <v>12777</v>
      </c>
    </row>
    <row r="47" spans="1:4" x14ac:dyDescent="0.25">
      <c r="A47" s="49">
        <f>+A41</f>
        <v>37235</v>
      </c>
      <c r="B47" s="32"/>
      <c r="C47" s="32"/>
      <c r="D47" s="363">
        <f>+D37</f>
        <v>-271</v>
      </c>
    </row>
    <row r="48" spans="1:4" x14ac:dyDescent="0.25">
      <c r="A48" s="32"/>
      <c r="B48" s="32"/>
      <c r="C48" s="32"/>
      <c r="D48" s="14">
        <f>+D47+D46</f>
        <v>12506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D41" sqref="D41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5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5">
      <c r="A9" s="10">
        <v>3</v>
      </c>
      <c r="B9" s="11">
        <v>159349</v>
      </c>
      <c r="C9" s="11">
        <v>165965</v>
      </c>
      <c r="D9" s="25">
        <f t="shared" ref="D9:D37" si="0">+C9-B9</f>
        <v>6616</v>
      </c>
    </row>
    <row r="10" spans="1:4" x14ac:dyDescent="0.25">
      <c r="A10" s="10">
        <v>4</v>
      </c>
      <c r="B10" s="11">
        <v>155848</v>
      </c>
      <c r="C10" s="11">
        <v>155735</v>
      </c>
      <c r="D10" s="25">
        <f t="shared" si="0"/>
        <v>-113</v>
      </c>
    </row>
    <row r="11" spans="1:4" x14ac:dyDescent="0.25">
      <c r="A11" s="10">
        <v>5</v>
      </c>
      <c r="B11" s="129">
        <v>166911</v>
      </c>
      <c r="C11" s="11">
        <v>168136</v>
      </c>
      <c r="D11" s="25">
        <f t="shared" si="0"/>
        <v>1225</v>
      </c>
    </row>
    <row r="12" spans="1:4" x14ac:dyDescent="0.25">
      <c r="A12" s="10">
        <v>6</v>
      </c>
      <c r="B12" s="11">
        <v>181580</v>
      </c>
      <c r="C12" s="11">
        <v>183336</v>
      </c>
      <c r="D12" s="25">
        <f t="shared" si="0"/>
        <v>1756</v>
      </c>
    </row>
    <row r="13" spans="1:4" x14ac:dyDescent="0.25">
      <c r="A13" s="10">
        <v>7</v>
      </c>
      <c r="B13" s="129">
        <v>184934</v>
      </c>
      <c r="C13" s="11">
        <v>184986</v>
      </c>
      <c r="D13" s="25">
        <f t="shared" si="0"/>
        <v>52</v>
      </c>
    </row>
    <row r="14" spans="1:4" x14ac:dyDescent="0.25">
      <c r="A14" s="10">
        <v>8</v>
      </c>
      <c r="B14" s="11">
        <v>195682</v>
      </c>
      <c r="C14" s="11">
        <v>194987</v>
      </c>
      <c r="D14" s="25">
        <f t="shared" si="0"/>
        <v>-695</v>
      </c>
    </row>
    <row r="15" spans="1:4" x14ac:dyDescent="0.25">
      <c r="A15" s="10">
        <v>9</v>
      </c>
      <c r="B15" s="11">
        <v>197184</v>
      </c>
      <c r="C15" s="11">
        <v>204987</v>
      </c>
      <c r="D15" s="25">
        <f t="shared" si="0"/>
        <v>7803</v>
      </c>
    </row>
    <row r="16" spans="1:4" x14ac:dyDescent="0.25">
      <c r="A16" s="10">
        <v>10</v>
      </c>
      <c r="B16" s="11">
        <v>172328</v>
      </c>
      <c r="C16" s="11">
        <v>172131</v>
      </c>
      <c r="D16" s="25">
        <f t="shared" si="0"/>
        <v>-197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1724046</v>
      </c>
      <c r="C38" s="11">
        <f>SUM(C7:C37)</f>
        <v>1738153</v>
      </c>
      <c r="D38" s="11">
        <f>SUM(D7:D37)</f>
        <v>14107</v>
      </c>
    </row>
    <row r="39" spans="1:8" x14ac:dyDescent="0.25">
      <c r="A39" s="26"/>
      <c r="C39" s="14"/>
      <c r="D39" s="106">
        <f>+summary!H3</f>
        <v>1.99</v>
      </c>
    </row>
    <row r="40" spans="1:8" x14ac:dyDescent="0.25">
      <c r="D40" s="138">
        <f>+D39*D38</f>
        <v>28072.93</v>
      </c>
      <c r="H40">
        <v>20</v>
      </c>
    </row>
    <row r="41" spans="1:8" x14ac:dyDescent="0.25">
      <c r="A41" s="57">
        <v>37225</v>
      </c>
      <c r="C41" s="15"/>
      <c r="D41" s="513">
        <v>-23010</v>
      </c>
      <c r="H41">
        <v>530</v>
      </c>
    </row>
    <row r="42" spans="1:8" x14ac:dyDescent="0.25">
      <c r="A42" s="57">
        <v>37235</v>
      </c>
      <c r="D42" s="330">
        <f>+D41+D40</f>
        <v>5062.93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152</v>
      </c>
      <c r="B46" s="32"/>
      <c r="C46" s="32"/>
      <c r="D46" s="32"/>
    </row>
    <row r="47" spans="1:8" x14ac:dyDescent="0.25">
      <c r="A47" s="49">
        <f>+A41</f>
        <v>37225</v>
      </c>
      <c r="B47" s="32"/>
      <c r="C47" s="32"/>
      <c r="D47" s="511">
        <v>-10969</v>
      </c>
    </row>
    <row r="48" spans="1:8" x14ac:dyDescent="0.25">
      <c r="A48" s="49">
        <f>+A42</f>
        <v>37235</v>
      </c>
      <c r="B48" s="32"/>
      <c r="C48" s="32"/>
      <c r="D48" s="363">
        <f>+D38</f>
        <v>14107</v>
      </c>
    </row>
    <row r="49" spans="1:4" x14ac:dyDescent="0.25">
      <c r="A49" s="32"/>
      <c r="B49" s="32"/>
      <c r="C49" s="32"/>
      <c r="D49" s="14">
        <f>+D48+D47</f>
        <v>3138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F47" sqref="F47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8.332031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</row>
    <row r="7" spans="1:34" x14ac:dyDescent="0.25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  <c r="AD7" s="300"/>
      <c r="AE7" s="300"/>
      <c r="AF7" s="300"/>
      <c r="AG7" s="300"/>
      <c r="AH7" s="300"/>
    </row>
    <row r="8" spans="1:34" x14ac:dyDescent="0.25">
      <c r="A8" s="41">
        <v>4</v>
      </c>
      <c r="B8" s="11">
        <v>-174</v>
      </c>
      <c r="C8" s="11"/>
      <c r="D8" s="11">
        <v>-2179</v>
      </c>
      <c r="E8" s="11">
        <v>-1950</v>
      </c>
      <c r="F8" s="11">
        <f t="shared" si="0"/>
        <v>403</v>
      </c>
      <c r="G8" s="41"/>
      <c r="H8" s="43"/>
      <c r="I8" s="43"/>
      <c r="J8" s="43"/>
      <c r="K8" s="43"/>
      <c r="L8" s="43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0"/>
      <c r="AG8" s="300"/>
      <c r="AH8" s="300"/>
    </row>
    <row r="9" spans="1:34" x14ac:dyDescent="0.25">
      <c r="A9" s="41">
        <v>5</v>
      </c>
      <c r="B9" s="11"/>
      <c r="C9" s="11"/>
      <c r="D9" s="11"/>
      <c r="E9" s="11">
        <v>-1950</v>
      </c>
      <c r="F9" s="11">
        <f t="shared" si="0"/>
        <v>-1950</v>
      </c>
      <c r="G9" s="41"/>
      <c r="H9" s="43"/>
      <c r="I9" s="43"/>
      <c r="J9" s="43"/>
      <c r="K9" s="43"/>
      <c r="L9" s="43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0"/>
    </row>
    <row r="10" spans="1:34" x14ac:dyDescent="0.25">
      <c r="A10" s="41">
        <v>6</v>
      </c>
      <c r="B10" s="11"/>
      <c r="C10" s="11"/>
      <c r="D10" s="11"/>
      <c r="E10" s="11">
        <v>-1950</v>
      </c>
      <c r="F10" s="11">
        <f t="shared" si="0"/>
        <v>-1950</v>
      </c>
      <c r="G10" s="41"/>
      <c r="H10" s="43"/>
      <c r="I10" s="43"/>
      <c r="J10" s="43"/>
      <c r="K10" s="43"/>
      <c r="L10" s="43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  <c r="AD10" s="300"/>
      <c r="AE10" s="300"/>
      <c r="AF10" s="300"/>
      <c r="AG10" s="300"/>
      <c r="AH10" s="300"/>
    </row>
    <row r="11" spans="1:34" x14ac:dyDescent="0.25">
      <c r="A11" s="41">
        <v>7</v>
      </c>
      <c r="B11" s="129"/>
      <c r="C11" s="11"/>
      <c r="D11" s="129"/>
      <c r="E11" s="11">
        <v>-1950</v>
      </c>
      <c r="F11" s="11">
        <f t="shared" si="0"/>
        <v>-1950</v>
      </c>
      <c r="G11" s="41"/>
      <c r="H11" s="43"/>
      <c r="I11" s="43"/>
      <c r="J11" s="43"/>
      <c r="K11" s="43"/>
      <c r="L11" s="43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0"/>
      <c r="AH11" s="300"/>
    </row>
    <row r="12" spans="1:34" x14ac:dyDescent="0.25">
      <c r="A12" s="41">
        <v>8</v>
      </c>
      <c r="B12" s="11"/>
      <c r="C12" s="11"/>
      <c r="D12" s="129"/>
      <c r="E12" s="11">
        <v>-1950</v>
      </c>
      <c r="F12" s="11">
        <f t="shared" si="0"/>
        <v>-1950</v>
      </c>
      <c r="G12" s="41"/>
      <c r="H12" s="43"/>
      <c r="I12" s="43"/>
      <c r="J12" s="43"/>
      <c r="K12" s="43"/>
      <c r="L12" s="43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0"/>
      <c r="AF12" s="300"/>
      <c r="AG12" s="300"/>
      <c r="AH12" s="300"/>
    </row>
    <row r="13" spans="1:34" x14ac:dyDescent="0.25">
      <c r="A13" s="41">
        <v>9</v>
      </c>
      <c r="B13" s="129"/>
      <c r="C13" s="11"/>
      <c r="D13" s="129"/>
      <c r="E13" s="11">
        <v>-1950</v>
      </c>
      <c r="F13" s="11">
        <f t="shared" si="0"/>
        <v>-1950</v>
      </c>
      <c r="G13" s="41"/>
      <c r="H13" s="43"/>
      <c r="I13" s="43"/>
      <c r="J13" s="43"/>
      <c r="K13" s="43"/>
      <c r="L13" s="43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</row>
    <row r="14" spans="1:34" x14ac:dyDescent="0.25">
      <c r="A14" s="41">
        <v>10</v>
      </c>
      <c r="B14" s="11"/>
      <c r="C14" s="11"/>
      <c r="D14" s="129"/>
      <c r="E14" s="11">
        <v>-1950</v>
      </c>
      <c r="F14" s="11">
        <f t="shared" si="0"/>
        <v>-1950</v>
      </c>
      <c r="G14" s="41"/>
      <c r="H14" s="43"/>
      <c r="I14" s="43"/>
      <c r="J14" s="43"/>
      <c r="K14" s="43"/>
      <c r="L14" s="43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  <c r="AA14" s="300"/>
      <c r="AB14" s="300"/>
      <c r="AC14" s="300"/>
      <c r="AD14" s="300"/>
      <c r="AE14" s="300"/>
      <c r="AF14" s="300"/>
      <c r="AG14" s="300"/>
      <c r="AH14" s="300"/>
    </row>
    <row r="15" spans="1:34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  <c r="AH15" s="300"/>
    </row>
    <row r="16" spans="1:34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</row>
    <row r="17" spans="1:34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0"/>
      <c r="AF17" s="300"/>
      <c r="AG17" s="300"/>
      <c r="AH17" s="300"/>
    </row>
    <row r="18" spans="1:34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</row>
    <row r="19" spans="1:34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300"/>
      <c r="AH19" s="300"/>
    </row>
    <row r="20" spans="1:34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0"/>
      <c r="AD20" s="300"/>
      <c r="AE20" s="300"/>
      <c r="AF20" s="300"/>
      <c r="AG20" s="300"/>
      <c r="AH20" s="300"/>
    </row>
    <row r="21" spans="1:34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</row>
    <row r="22" spans="1:34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  <c r="AH22" s="300"/>
    </row>
    <row r="23" spans="1:34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</row>
    <row r="24" spans="1:34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0"/>
      <c r="AG24" s="300"/>
      <c r="AH24" s="300"/>
    </row>
    <row r="25" spans="1:34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0"/>
      <c r="AH25" s="300"/>
    </row>
    <row r="26" spans="1:34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300"/>
      <c r="AB26" s="300"/>
      <c r="AC26" s="300"/>
      <c r="AD26" s="300"/>
      <c r="AE26" s="300"/>
      <c r="AF26" s="300"/>
      <c r="AG26" s="300"/>
      <c r="AH26" s="300"/>
    </row>
    <row r="27" spans="1:34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300"/>
      <c r="AE27" s="300"/>
      <c r="AF27" s="300"/>
      <c r="AG27" s="300"/>
      <c r="AH27" s="300"/>
    </row>
    <row r="28" spans="1:34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300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0"/>
      <c r="Z28" s="300"/>
      <c r="AA28" s="300"/>
      <c r="AB28" s="300"/>
      <c r="AC28" s="300"/>
      <c r="AD28" s="300"/>
      <c r="AE28" s="300"/>
      <c r="AF28" s="300"/>
      <c r="AG28" s="300"/>
      <c r="AH28" s="300"/>
    </row>
    <row r="29" spans="1:34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300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0"/>
      <c r="AD29" s="300"/>
      <c r="AE29" s="300"/>
      <c r="AF29" s="300"/>
      <c r="AG29" s="300"/>
      <c r="AH29" s="300"/>
    </row>
    <row r="30" spans="1:34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  <c r="AA30" s="300"/>
      <c r="AB30" s="300"/>
      <c r="AC30" s="300"/>
      <c r="AD30" s="300"/>
      <c r="AE30" s="300"/>
      <c r="AF30" s="300"/>
      <c r="AG30" s="300"/>
      <c r="AH30" s="300"/>
    </row>
    <row r="31" spans="1:34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300"/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300"/>
      <c r="AE31" s="300"/>
      <c r="AF31" s="300"/>
      <c r="AG31" s="300"/>
      <c r="AH31" s="300"/>
    </row>
    <row r="32" spans="1:34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300"/>
      <c r="AB32" s="300"/>
      <c r="AC32" s="300"/>
      <c r="AD32" s="300"/>
      <c r="AE32" s="300"/>
      <c r="AF32" s="300"/>
      <c r="AG32" s="300"/>
      <c r="AH32" s="300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300"/>
      <c r="AB33" s="300"/>
      <c r="AC33" s="300"/>
      <c r="AD33" s="300"/>
      <c r="AE33" s="300"/>
      <c r="AF33" s="300"/>
      <c r="AG33" s="300"/>
      <c r="AH33" s="300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300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00"/>
      <c r="AA35" s="300"/>
      <c r="AB35" s="300"/>
      <c r="AC35" s="300"/>
      <c r="AD35" s="300"/>
      <c r="AE35" s="300"/>
      <c r="AF35" s="300"/>
      <c r="AG35" s="300"/>
      <c r="AH35" s="300"/>
    </row>
    <row r="36" spans="1:34" x14ac:dyDescent="0.25">
      <c r="A36" s="41"/>
      <c r="B36" s="11">
        <f>SUM(B5:B35)</f>
        <v>-31554</v>
      </c>
      <c r="C36" s="44">
        <f>SUM(C5:C35)</f>
        <v>-30000</v>
      </c>
      <c r="D36" s="43">
        <f>SUM(D5:D35)</f>
        <v>-43602</v>
      </c>
      <c r="E36" s="43">
        <f>SUM(E5:E35)</f>
        <v>-54602</v>
      </c>
      <c r="F36" s="11">
        <f>SUM(F5:F35)</f>
        <v>-9446</v>
      </c>
      <c r="G36" s="41"/>
      <c r="H36" s="43"/>
      <c r="I36" s="43"/>
      <c r="J36" s="43"/>
      <c r="K36" s="43"/>
      <c r="L36" s="43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0"/>
      <c r="Z36" s="300"/>
      <c r="AA36" s="300"/>
      <c r="AB36" s="300"/>
      <c r="AC36" s="300"/>
      <c r="AD36" s="300"/>
      <c r="AE36" s="300"/>
      <c r="AF36" s="300"/>
      <c r="AG36" s="300"/>
      <c r="AH36" s="300"/>
    </row>
    <row r="37" spans="1:34" x14ac:dyDescent="0.25">
      <c r="A37" s="45"/>
      <c r="B37" s="32"/>
      <c r="C37" s="24">
        <f>+B36-C36</f>
        <v>-1554</v>
      </c>
      <c r="D37" s="24"/>
      <c r="E37" s="24">
        <f>+D36-E36</f>
        <v>11000</v>
      </c>
      <c r="F37" s="25"/>
      <c r="G37" s="45"/>
      <c r="H37" s="206"/>
      <c r="I37" s="150"/>
      <c r="J37" s="150"/>
      <c r="K37" s="150"/>
      <c r="L37" s="152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  <c r="AA37" s="300"/>
      <c r="AB37" s="300"/>
      <c r="AC37" s="300"/>
      <c r="AD37" s="300"/>
      <c r="AE37" s="300"/>
      <c r="AF37" s="300"/>
      <c r="AG37" s="300"/>
      <c r="AH37" s="300"/>
    </row>
    <row r="38" spans="1:34" x14ac:dyDescent="0.25">
      <c r="A38" s="32"/>
      <c r="B38" s="32"/>
      <c r="C38" s="14"/>
      <c r="D38" s="14"/>
      <c r="E38" s="15"/>
      <c r="F38" s="46"/>
      <c r="G38" s="32"/>
      <c r="H38" s="206"/>
      <c r="I38" s="208"/>
      <c r="J38" s="215"/>
      <c r="K38" s="215"/>
      <c r="L38" s="499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300"/>
      <c r="AB38" s="300"/>
      <c r="AC38" s="300"/>
      <c r="AD38" s="300"/>
      <c r="AE38" s="300"/>
      <c r="AF38" s="300"/>
      <c r="AG38" s="300"/>
      <c r="AH38" s="300"/>
    </row>
    <row r="39" spans="1:34" x14ac:dyDescent="0.25">
      <c r="A39" s="32"/>
      <c r="B39" s="32"/>
      <c r="C39" s="24"/>
      <c r="D39" s="47"/>
      <c r="E39" s="48"/>
      <c r="F39" s="24"/>
      <c r="G39" s="32"/>
      <c r="H39" s="206"/>
      <c r="I39" s="150"/>
      <c r="J39" s="359"/>
      <c r="K39" s="500"/>
      <c r="L39" s="150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300"/>
      <c r="AB39" s="300"/>
      <c r="AC39" s="300"/>
      <c r="AD39" s="300"/>
      <c r="AE39" s="300"/>
      <c r="AF39" s="300"/>
      <c r="AG39" s="300"/>
      <c r="AH39" s="300"/>
    </row>
    <row r="40" spans="1:34" x14ac:dyDescent="0.25">
      <c r="A40" s="32"/>
      <c r="B40" s="2"/>
      <c r="C40" s="14"/>
      <c r="D40" s="47"/>
      <c r="E40" s="47"/>
      <c r="F40" s="51"/>
      <c r="G40" s="32"/>
      <c r="H40" s="206"/>
      <c r="I40" s="208"/>
      <c r="J40" s="359"/>
      <c r="K40" s="359"/>
      <c r="L40" s="15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0"/>
      <c r="AD40" s="300"/>
      <c r="AE40" s="300"/>
      <c r="AF40" s="300"/>
      <c r="AG40" s="300"/>
      <c r="AH40" s="300"/>
    </row>
    <row r="41" spans="1:34" x14ac:dyDescent="0.25">
      <c r="A41" s="32"/>
      <c r="B41" s="57">
        <v>37225</v>
      </c>
      <c r="C41" s="14"/>
      <c r="D41" s="50"/>
      <c r="E41" s="50"/>
      <c r="F41" s="245">
        <v>10248</v>
      </c>
      <c r="G41" s="32"/>
      <c r="H41" s="501"/>
      <c r="I41" s="208"/>
      <c r="J41" s="502"/>
      <c r="K41" s="502"/>
      <c r="L41" s="15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</row>
    <row r="42" spans="1:34" x14ac:dyDescent="0.25">
      <c r="A42" s="32"/>
      <c r="B42" s="57">
        <v>37235</v>
      </c>
      <c r="C42" s="14"/>
      <c r="D42" s="50"/>
      <c r="E42" s="50"/>
      <c r="F42" s="51">
        <f>+F41+F36</f>
        <v>802</v>
      </c>
      <c r="G42" s="32"/>
      <c r="H42" s="501"/>
      <c r="I42" s="208"/>
      <c r="J42" s="502"/>
      <c r="K42" s="502"/>
      <c r="L42" s="313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</row>
    <row r="43" spans="1:34" x14ac:dyDescent="0.25">
      <c r="B43" s="56"/>
      <c r="F43" s="52"/>
      <c r="H43" s="300"/>
      <c r="I43" s="300"/>
      <c r="J43" s="300"/>
      <c r="K43" s="300"/>
      <c r="L43" s="503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</row>
    <row r="44" spans="1:34" x14ac:dyDescent="0.25"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</row>
    <row r="45" spans="1:34" x14ac:dyDescent="0.25">
      <c r="H45" s="300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0"/>
      <c r="Z45" s="300"/>
      <c r="AA45" s="300"/>
      <c r="AB45" s="300"/>
      <c r="AC45" s="300"/>
      <c r="AD45" s="300"/>
      <c r="AE45" s="300"/>
      <c r="AF45" s="300"/>
      <c r="AG45" s="300"/>
      <c r="AH45" s="300"/>
    </row>
    <row r="46" spans="1:34" x14ac:dyDescent="0.25">
      <c r="A46" s="32" t="s">
        <v>153</v>
      </c>
      <c r="B46" s="32"/>
      <c r="C46" s="32"/>
      <c r="D46" s="47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0"/>
      <c r="Z46" s="300"/>
      <c r="AA46" s="300"/>
      <c r="AB46" s="300"/>
      <c r="AC46" s="300"/>
      <c r="AD46" s="300"/>
      <c r="AE46" s="300"/>
      <c r="AF46" s="300"/>
      <c r="AG46" s="300"/>
      <c r="AH46" s="300"/>
    </row>
    <row r="47" spans="1:34" x14ac:dyDescent="0.25">
      <c r="A47" s="49">
        <f>+B41</f>
        <v>37225</v>
      </c>
      <c r="B47" s="32"/>
      <c r="C47" s="32"/>
      <c r="D47" s="530">
        <v>-61736</v>
      </c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  <c r="AD47" s="300"/>
      <c r="AE47" s="300"/>
      <c r="AF47" s="300"/>
      <c r="AG47" s="300"/>
      <c r="AH47" s="300"/>
    </row>
    <row r="48" spans="1:34" x14ac:dyDescent="0.25">
      <c r="A48" s="49">
        <f>+B42</f>
        <v>37235</v>
      </c>
      <c r="B48" s="32"/>
      <c r="C48" s="32"/>
      <c r="D48" s="390">
        <f>+F36*'by type_area'!J4</f>
        <v>-19080.920000000002</v>
      </c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300"/>
      <c r="AB48" s="300"/>
      <c r="AC48" s="300"/>
      <c r="AD48" s="300"/>
      <c r="AE48" s="300"/>
      <c r="AF48" s="300"/>
      <c r="AG48" s="300"/>
      <c r="AH48" s="300"/>
    </row>
    <row r="49" spans="1:34" x14ac:dyDescent="0.25">
      <c r="A49" s="32"/>
      <c r="B49" s="32"/>
      <c r="C49" s="32"/>
      <c r="D49" s="202">
        <f>+D48+D47</f>
        <v>-80816.92</v>
      </c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0"/>
      <c r="V49" s="300"/>
      <c r="W49" s="300"/>
      <c r="X49" s="300"/>
      <c r="Y49" s="300"/>
      <c r="Z49" s="300"/>
      <c r="AA49" s="300"/>
      <c r="AB49" s="300"/>
      <c r="AC49" s="300"/>
      <c r="AD49" s="300"/>
      <c r="AE49" s="300"/>
      <c r="AF49" s="300"/>
      <c r="AG49" s="300"/>
      <c r="AH49" s="300"/>
    </row>
    <row r="50" spans="1:34" x14ac:dyDescent="0.25"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0"/>
      <c r="Z50" s="300"/>
      <c r="AA50" s="300"/>
      <c r="AB50" s="300"/>
      <c r="AC50" s="300"/>
      <c r="AD50" s="300"/>
      <c r="AE50" s="300"/>
      <c r="AF50" s="300"/>
      <c r="AG50" s="300"/>
      <c r="AH50" s="300"/>
    </row>
    <row r="51" spans="1:34" x14ac:dyDescent="0.25">
      <c r="H51" s="300"/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0"/>
      <c r="Z51" s="300"/>
      <c r="AA51" s="300"/>
      <c r="AB51" s="300"/>
      <c r="AC51" s="300"/>
      <c r="AD51" s="300"/>
      <c r="AE51" s="300"/>
      <c r="AF51" s="300"/>
      <c r="AG51" s="300"/>
      <c r="AH51" s="300"/>
    </row>
    <row r="52" spans="1:34" x14ac:dyDescent="0.25"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300"/>
      <c r="AB52" s="300"/>
      <c r="AC52" s="300"/>
      <c r="AD52" s="300"/>
      <c r="AE52" s="300"/>
      <c r="AF52" s="300"/>
      <c r="AG52" s="300"/>
      <c r="AH52" s="300"/>
    </row>
    <row r="53" spans="1:34" x14ac:dyDescent="0.25">
      <c r="H53" s="300"/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0"/>
      <c r="Z53" s="300"/>
      <c r="AA53" s="300"/>
      <c r="AB53" s="300"/>
      <c r="AC53" s="300"/>
      <c r="AD53" s="300"/>
      <c r="AE53" s="300"/>
      <c r="AF53" s="300"/>
      <c r="AG53" s="300"/>
      <c r="AH53" s="300"/>
    </row>
    <row r="54" spans="1:34" x14ac:dyDescent="0.25"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  <c r="AA54" s="300"/>
      <c r="AB54" s="300"/>
      <c r="AC54" s="300"/>
      <c r="AD54" s="300"/>
      <c r="AE54" s="300"/>
      <c r="AF54" s="300"/>
      <c r="AG54" s="300"/>
      <c r="AH54" s="300"/>
    </row>
    <row r="55" spans="1:34" x14ac:dyDescent="0.25"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0"/>
      <c r="U55" s="300"/>
      <c r="V55" s="300"/>
      <c r="W55" s="300"/>
      <c r="X55" s="300"/>
      <c r="Y55" s="300"/>
      <c r="Z55" s="300"/>
      <c r="AA55" s="300"/>
      <c r="AB55" s="300"/>
      <c r="AC55" s="300"/>
      <c r="AD55" s="300"/>
      <c r="AE55" s="300"/>
      <c r="AF55" s="300"/>
      <c r="AG55" s="300"/>
      <c r="AH55" s="300"/>
    </row>
    <row r="56" spans="1:34" x14ac:dyDescent="0.25"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  <c r="AB56" s="300"/>
      <c r="AC56" s="300"/>
      <c r="AD56" s="300"/>
      <c r="AE56" s="300"/>
      <c r="AF56" s="300"/>
      <c r="AG56" s="300"/>
      <c r="AH56" s="300"/>
    </row>
    <row r="57" spans="1:34" x14ac:dyDescent="0.25"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  <c r="Z57" s="300"/>
      <c r="AA57" s="300"/>
      <c r="AB57" s="300"/>
      <c r="AC57" s="300"/>
      <c r="AD57" s="300"/>
      <c r="AE57" s="300"/>
      <c r="AF57" s="300"/>
      <c r="AG57" s="300"/>
      <c r="AH57" s="300"/>
    </row>
    <row r="58" spans="1:34" x14ac:dyDescent="0.25"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  <c r="AA58" s="300"/>
      <c r="AB58" s="300"/>
      <c r="AC58" s="300"/>
      <c r="AD58" s="300"/>
      <c r="AE58" s="300"/>
      <c r="AF58" s="300"/>
      <c r="AG58" s="300"/>
      <c r="AH58" s="300"/>
    </row>
    <row r="59" spans="1:34" x14ac:dyDescent="0.25"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0"/>
      <c r="AA59" s="300"/>
      <c r="AB59" s="300"/>
      <c r="AC59" s="300"/>
      <c r="AD59" s="300"/>
      <c r="AE59" s="300"/>
      <c r="AF59" s="300"/>
      <c r="AG59" s="300"/>
      <c r="AH59" s="300"/>
    </row>
    <row r="60" spans="1:34" x14ac:dyDescent="0.25"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300"/>
      <c r="AB60" s="300"/>
      <c r="AC60" s="300"/>
      <c r="AD60" s="300"/>
      <c r="AE60" s="300"/>
      <c r="AF60" s="300"/>
      <c r="AG60" s="300"/>
      <c r="AH60" s="300"/>
    </row>
    <row r="61" spans="1:34" x14ac:dyDescent="0.25"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0"/>
      <c r="AA61" s="300"/>
      <c r="AB61" s="300"/>
      <c r="AC61" s="300"/>
      <c r="AD61" s="300"/>
      <c r="AE61" s="300"/>
      <c r="AF61" s="300"/>
      <c r="AG61" s="300"/>
      <c r="AH61" s="300"/>
    </row>
    <row r="62" spans="1:34" x14ac:dyDescent="0.25"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</row>
    <row r="63" spans="1:34" x14ac:dyDescent="0.25">
      <c r="H63" s="300"/>
      <c r="I63" s="300"/>
      <c r="J63" s="300"/>
      <c r="K63" s="300"/>
      <c r="L63" s="300"/>
      <c r="M63" s="300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0"/>
      <c r="AA63" s="300"/>
      <c r="AB63" s="300"/>
      <c r="AC63" s="300"/>
      <c r="AD63" s="300"/>
      <c r="AE63" s="300"/>
      <c r="AF63" s="300"/>
      <c r="AG63" s="300"/>
      <c r="AH63" s="300"/>
    </row>
    <row r="64" spans="1:34" x14ac:dyDescent="0.25">
      <c r="H64" s="300"/>
      <c r="I64" s="300"/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0"/>
      <c r="AA64" s="300"/>
      <c r="AB64" s="300"/>
      <c r="AC64" s="300"/>
      <c r="AD64" s="300"/>
      <c r="AE64" s="300"/>
      <c r="AF64" s="300"/>
      <c r="AG64" s="300"/>
      <c r="AH64" s="300"/>
    </row>
    <row r="65" spans="8:34" x14ac:dyDescent="0.25"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0"/>
      <c r="AA65" s="300"/>
      <c r="AB65" s="300"/>
      <c r="AC65" s="300"/>
      <c r="AD65" s="300"/>
      <c r="AE65" s="300"/>
      <c r="AF65" s="300"/>
      <c r="AG65" s="300"/>
      <c r="AH65" s="300"/>
    </row>
    <row r="66" spans="8:34" x14ac:dyDescent="0.25">
      <c r="H66" s="300"/>
      <c r="I66" s="300"/>
      <c r="J66" s="300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0"/>
      <c r="AA66" s="300"/>
      <c r="AB66" s="300"/>
      <c r="AC66" s="300"/>
      <c r="AD66" s="300"/>
      <c r="AE66" s="300"/>
      <c r="AF66" s="300"/>
      <c r="AG66" s="300"/>
      <c r="AH66" s="300"/>
    </row>
    <row r="67" spans="8:34" x14ac:dyDescent="0.25">
      <c r="H67" s="300"/>
      <c r="I67" s="300"/>
      <c r="J67" s="300"/>
      <c r="K67" s="300"/>
      <c r="L67" s="300"/>
      <c r="M67" s="300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0"/>
      <c r="Z67" s="300"/>
      <c r="AA67" s="300"/>
      <c r="AB67" s="300"/>
      <c r="AC67" s="300"/>
      <c r="AD67" s="300"/>
      <c r="AE67" s="300"/>
      <c r="AF67" s="300"/>
      <c r="AG67" s="300"/>
      <c r="AH67" s="300"/>
    </row>
    <row r="68" spans="8:34" x14ac:dyDescent="0.25">
      <c r="H68" s="300"/>
      <c r="I68" s="300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0"/>
      <c r="Z68" s="300"/>
      <c r="AA68" s="300"/>
      <c r="AB68" s="300"/>
      <c r="AC68" s="300"/>
      <c r="AD68" s="300"/>
      <c r="AE68" s="300"/>
      <c r="AF68" s="300"/>
      <c r="AG68" s="300"/>
      <c r="AH68" s="300"/>
    </row>
    <row r="69" spans="8:34" x14ac:dyDescent="0.25"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0"/>
      <c r="AA69" s="300"/>
      <c r="AB69" s="300"/>
      <c r="AC69" s="300"/>
      <c r="AD69" s="300"/>
      <c r="AE69" s="300"/>
      <c r="AF69" s="300"/>
      <c r="AG69" s="300"/>
      <c r="AH69" s="300"/>
    </row>
    <row r="70" spans="8:34" x14ac:dyDescent="0.25">
      <c r="H70" s="300"/>
      <c r="I70" s="300"/>
      <c r="J70" s="300"/>
      <c r="K70" s="300"/>
      <c r="L70" s="300"/>
      <c r="M70" s="300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0"/>
      <c r="AA70" s="300"/>
      <c r="AB70" s="300"/>
      <c r="AC70" s="300"/>
      <c r="AD70" s="300"/>
      <c r="AE70" s="300"/>
      <c r="AF70" s="300"/>
      <c r="AG70" s="300"/>
      <c r="AH70" s="300"/>
    </row>
    <row r="71" spans="8:34" x14ac:dyDescent="0.25">
      <c r="H71" s="300"/>
      <c r="I71" s="300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300"/>
      <c r="AB71" s="300"/>
      <c r="AC71" s="300"/>
      <c r="AD71" s="300"/>
      <c r="AE71" s="300"/>
      <c r="AF71" s="300"/>
      <c r="AG71" s="300"/>
      <c r="AH71" s="300"/>
    </row>
    <row r="72" spans="8:34" x14ac:dyDescent="0.25">
      <c r="H72" s="300"/>
      <c r="I72" s="300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0"/>
      <c r="AA72" s="300"/>
      <c r="AB72" s="300"/>
      <c r="AC72" s="300"/>
      <c r="AD72" s="300"/>
      <c r="AE72" s="300"/>
      <c r="AF72" s="300"/>
      <c r="AG72" s="300"/>
      <c r="AH72" s="300"/>
    </row>
    <row r="73" spans="8:34" x14ac:dyDescent="0.25">
      <c r="H73" s="300"/>
      <c r="I73" s="300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  <c r="AA73" s="300"/>
      <c r="AB73" s="300"/>
      <c r="AC73" s="300"/>
      <c r="AD73" s="300"/>
      <c r="AE73" s="300"/>
      <c r="AF73" s="300"/>
      <c r="AG73" s="300"/>
      <c r="AH73" s="300"/>
    </row>
    <row r="74" spans="8:34" x14ac:dyDescent="0.25"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0"/>
      <c r="Z74" s="300"/>
      <c r="AA74" s="300"/>
      <c r="AB74" s="300"/>
      <c r="AC74" s="300"/>
      <c r="AD74" s="300"/>
      <c r="AE74" s="300"/>
      <c r="AF74" s="300"/>
      <c r="AG74" s="300"/>
      <c r="AH74" s="300"/>
    </row>
    <row r="75" spans="8:34" x14ac:dyDescent="0.25">
      <c r="H75" s="300"/>
      <c r="I75" s="300"/>
      <c r="J75" s="300"/>
      <c r="K75" s="300"/>
      <c r="L75" s="300"/>
      <c r="M75" s="300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0"/>
      <c r="Z75" s="300"/>
      <c r="AA75" s="300"/>
      <c r="AB75" s="300"/>
      <c r="AC75" s="300"/>
      <c r="AD75" s="300"/>
      <c r="AE75" s="300"/>
      <c r="AF75" s="300"/>
      <c r="AG75" s="300"/>
      <c r="AH75" s="300"/>
    </row>
    <row r="76" spans="8:34" x14ac:dyDescent="0.25">
      <c r="H76" s="300"/>
      <c r="I76" s="300"/>
      <c r="J76" s="300"/>
      <c r="K76" s="300"/>
      <c r="L76" s="300"/>
      <c r="M76" s="300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0"/>
      <c r="AA76" s="300"/>
      <c r="AB76" s="300"/>
      <c r="AC76" s="300"/>
      <c r="AD76" s="300"/>
      <c r="AE76" s="300"/>
      <c r="AF76" s="300"/>
      <c r="AG76" s="300"/>
      <c r="AH76" s="300"/>
    </row>
    <row r="77" spans="8:34" x14ac:dyDescent="0.25"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0"/>
      <c r="AD77" s="300"/>
      <c r="AE77" s="300"/>
      <c r="AF77" s="300"/>
      <c r="AG77" s="300"/>
      <c r="AH77" s="300"/>
    </row>
    <row r="78" spans="8:34" x14ac:dyDescent="0.25"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0"/>
      <c r="Z78" s="300"/>
      <c r="AA78" s="300"/>
      <c r="AB78" s="300"/>
      <c r="AC78" s="300"/>
      <c r="AD78" s="300"/>
      <c r="AE78" s="300"/>
      <c r="AF78" s="300"/>
      <c r="AG78" s="300"/>
      <c r="AH78" s="300"/>
    </row>
    <row r="79" spans="8:34" x14ac:dyDescent="0.25">
      <c r="H79" s="300"/>
      <c r="I79" s="300"/>
      <c r="J79" s="300"/>
      <c r="K79" s="300"/>
      <c r="L79" s="300"/>
      <c r="M79" s="300"/>
      <c r="N79" s="300"/>
      <c r="O79" s="300"/>
      <c r="P79" s="300"/>
      <c r="Q79" s="300"/>
      <c r="R79" s="300"/>
      <c r="S79" s="300"/>
      <c r="T79" s="300"/>
      <c r="U79" s="300"/>
      <c r="V79" s="300"/>
      <c r="W79" s="300"/>
      <c r="X79" s="300"/>
      <c r="Y79" s="300"/>
      <c r="Z79" s="300"/>
      <c r="AA79" s="300"/>
      <c r="AB79" s="300"/>
      <c r="AC79" s="300"/>
      <c r="AD79" s="300"/>
      <c r="AE79" s="300"/>
      <c r="AF79" s="300"/>
      <c r="AG79" s="300"/>
      <c r="AH79" s="300"/>
    </row>
    <row r="80" spans="8:34" x14ac:dyDescent="0.25">
      <c r="H80" s="300"/>
      <c r="I80" s="300"/>
      <c r="J80" s="300"/>
      <c r="K80" s="300"/>
      <c r="L80" s="300"/>
      <c r="M80" s="300"/>
      <c r="N80" s="300"/>
      <c r="O80" s="300"/>
      <c r="P80" s="300"/>
      <c r="Q80" s="300"/>
      <c r="R80" s="300"/>
      <c r="S80" s="300"/>
      <c r="T80" s="300"/>
      <c r="U80" s="300"/>
      <c r="V80" s="300"/>
      <c r="W80" s="300"/>
      <c r="X80" s="300"/>
      <c r="Y80" s="300"/>
      <c r="Z80" s="300"/>
      <c r="AA80" s="300"/>
      <c r="AB80" s="300"/>
      <c r="AC80" s="300"/>
      <c r="AD80" s="300"/>
      <c r="AE80" s="300"/>
      <c r="AF80" s="300"/>
      <c r="AG80" s="300"/>
      <c r="AH80" s="300"/>
    </row>
    <row r="81" spans="8:34" x14ac:dyDescent="0.25">
      <c r="H81" s="300"/>
      <c r="I81" s="300"/>
      <c r="J81" s="300"/>
      <c r="K81" s="300"/>
      <c r="L81" s="300"/>
      <c r="M81" s="300"/>
      <c r="N81" s="300"/>
      <c r="O81" s="300"/>
      <c r="P81" s="300"/>
      <c r="Q81" s="300"/>
      <c r="R81" s="300"/>
      <c r="S81" s="300"/>
      <c r="T81" s="300"/>
      <c r="U81" s="300"/>
      <c r="V81" s="300"/>
      <c r="W81" s="300"/>
      <c r="X81" s="300"/>
      <c r="Y81" s="300"/>
      <c r="Z81" s="300"/>
      <c r="AA81" s="300"/>
      <c r="AB81" s="300"/>
      <c r="AC81" s="300"/>
      <c r="AD81" s="300"/>
      <c r="AE81" s="300"/>
      <c r="AF81" s="300"/>
      <c r="AG81" s="300"/>
      <c r="AH81" s="300"/>
    </row>
    <row r="82" spans="8:34" x14ac:dyDescent="0.25">
      <c r="H82" s="300"/>
      <c r="I82" s="300"/>
      <c r="J82" s="300"/>
      <c r="K82" s="300"/>
      <c r="L82" s="300"/>
      <c r="M82" s="300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0"/>
      <c r="Z82" s="300"/>
      <c r="AA82" s="300"/>
      <c r="AB82" s="300"/>
      <c r="AC82" s="300"/>
      <c r="AD82" s="300"/>
      <c r="AE82" s="300"/>
      <c r="AF82" s="300"/>
      <c r="AG82" s="300"/>
      <c r="AH82" s="300"/>
    </row>
    <row r="83" spans="8:34" x14ac:dyDescent="0.25"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300"/>
      <c r="AB83" s="300"/>
      <c r="AC83" s="300"/>
      <c r="AD83" s="300"/>
      <c r="AE83" s="300"/>
      <c r="AF83" s="300"/>
      <c r="AG83" s="300"/>
      <c r="AH83" s="300"/>
    </row>
    <row r="84" spans="8:34" x14ac:dyDescent="0.25">
      <c r="H84" s="300"/>
      <c r="I84" s="300"/>
      <c r="J84" s="300"/>
      <c r="K84" s="300"/>
      <c r="L84" s="300"/>
      <c r="M84" s="300"/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0"/>
      <c r="Z84" s="300"/>
      <c r="AA84" s="300"/>
      <c r="AB84" s="300"/>
      <c r="AC84" s="300"/>
      <c r="AD84" s="300"/>
      <c r="AE84" s="300"/>
      <c r="AF84" s="300"/>
      <c r="AG84" s="300"/>
      <c r="AH84" s="300"/>
    </row>
    <row r="85" spans="8:34" x14ac:dyDescent="0.25"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0"/>
      <c r="Z85" s="300"/>
      <c r="AA85" s="300"/>
      <c r="AB85" s="300"/>
      <c r="AC85" s="300"/>
      <c r="AD85" s="300"/>
      <c r="AE85" s="300"/>
      <c r="AF85" s="300"/>
      <c r="AG85" s="300"/>
      <c r="AH85" s="300"/>
    </row>
    <row r="86" spans="8:34" x14ac:dyDescent="0.25"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0"/>
      <c r="U86" s="300"/>
      <c r="V86" s="300"/>
      <c r="W86" s="300"/>
      <c r="X86" s="300"/>
      <c r="Y86" s="300"/>
      <c r="Z86" s="300"/>
      <c r="AA86" s="300"/>
      <c r="AB86" s="300"/>
      <c r="AC86" s="300"/>
      <c r="AD86" s="300"/>
      <c r="AE86" s="300"/>
      <c r="AF86" s="300"/>
      <c r="AG86" s="300"/>
      <c r="AH86" s="300"/>
    </row>
    <row r="87" spans="8:34" x14ac:dyDescent="0.25"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0"/>
      <c r="Z87" s="300"/>
      <c r="AA87" s="300"/>
      <c r="AB87" s="300"/>
      <c r="AC87" s="300"/>
      <c r="AD87" s="300"/>
      <c r="AE87" s="300"/>
      <c r="AF87" s="300"/>
      <c r="AG87" s="300"/>
      <c r="AH87" s="300"/>
    </row>
    <row r="88" spans="8:34" x14ac:dyDescent="0.25">
      <c r="H88" s="300"/>
      <c r="I88" s="300"/>
      <c r="J88" s="300"/>
      <c r="K88" s="300"/>
      <c r="L88" s="300"/>
      <c r="M88" s="300"/>
      <c r="N88" s="300"/>
      <c r="O88" s="300"/>
      <c r="P88" s="300"/>
      <c r="Q88" s="300"/>
      <c r="R88" s="300"/>
      <c r="S88" s="300"/>
      <c r="T88" s="300"/>
      <c r="U88" s="300"/>
      <c r="V88" s="300"/>
      <c r="W88" s="300"/>
      <c r="X88" s="300"/>
      <c r="Y88" s="300"/>
      <c r="Z88" s="300"/>
      <c r="AA88" s="300"/>
      <c r="AB88" s="300"/>
      <c r="AC88" s="300"/>
      <c r="AD88" s="300"/>
      <c r="AE88" s="300"/>
      <c r="AF88" s="300"/>
      <c r="AG88" s="300"/>
      <c r="AH88" s="300"/>
    </row>
    <row r="89" spans="8:34" x14ac:dyDescent="0.25">
      <c r="H89" s="300"/>
      <c r="I89" s="300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  <c r="AA89" s="300"/>
      <c r="AB89" s="300"/>
      <c r="AC89" s="300"/>
      <c r="AD89" s="300"/>
      <c r="AE89" s="300"/>
      <c r="AF89" s="300"/>
      <c r="AG89" s="300"/>
      <c r="AH89" s="300"/>
    </row>
    <row r="90" spans="8:34" x14ac:dyDescent="0.25">
      <c r="H90" s="300"/>
      <c r="I90" s="300"/>
      <c r="J90" s="300"/>
      <c r="K90" s="300"/>
      <c r="L90" s="300"/>
      <c r="M90" s="300"/>
      <c r="N90" s="300"/>
      <c r="O90" s="300"/>
      <c r="P90" s="300"/>
      <c r="Q90" s="300"/>
      <c r="R90" s="300"/>
      <c r="S90" s="300"/>
      <c r="T90" s="300"/>
      <c r="U90" s="300"/>
      <c r="V90" s="300"/>
      <c r="W90" s="300"/>
      <c r="X90" s="300"/>
      <c r="Y90" s="300"/>
      <c r="Z90" s="300"/>
      <c r="AA90" s="300"/>
      <c r="AB90" s="300"/>
      <c r="AC90" s="300"/>
      <c r="AD90" s="300"/>
      <c r="AE90" s="300"/>
      <c r="AF90" s="300"/>
      <c r="AG90" s="300"/>
      <c r="AH90" s="300"/>
    </row>
    <row r="91" spans="8:34" x14ac:dyDescent="0.25">
      <c r="H91" s="300"/>
      <c r="I91" s="300"/>
      <c r="J91" s="300"/>
      <c r="K91" s="300"/>
      <c r="L91" s="300"/>
      <c r="M91" s="300"/>
      <c r="N91" s="300"/>
      <c r="O91" s="300"/>
      <c r="P91" s="300"/>
      <c r="Q91" s="300"/>
      <c r="R91" s="300"/>
      <c r="S91" s="300"/>
      <c r="T91" s="300"/>
      <c r="U91" s="300"/>
      <c r="V91" s="300"/>
      <c r="W91" s="300"/>
      <c r="X91" s="300"/>
      <c r="Y91" s="300"/>
      <c r="Z91" s="300"/>
      <c r="AA91" s="300"/>
      <c r="AB91" s="300"/>
      <c r="AC91" s="300"/>
      <c r="AD91" s="300"/>
      <c r="AE91" s="300"/>
      <c r="AF91" s="300"/>
      <c r="AG91" s="300"/>
      <c r="AH91" s="300"/>
    </row>
    <row r="92" spans="8:34" x14ac:dyDescent="0.25">
      <c r="H92" s="300"/>
      <c r="I92" s="300"/>
      <c r="J92" s="300"/>
      <c r="K92" s="300"/>
      <c r="L92" s="300"/>
      <c r="M92" s="300"/>
      <c r="N92" s="300"/>
      <c r="O92" s="300"/>
      <c r="P92" s="300"/>
      <c r="Q92" s="300"/>
      <c r="R92" s="300"/>
      <c r="S92" s="300"/>
      <c r="T92" s="300"/>
      <c r="U92" s="300"/>
      <c r="V92" s="300"/>
      <c r="W92" s="300"/>
      <c r="X92" s="300"/>
      <c r="Y92" s="300"/>
      <c r="Z92" s="300"/>
      <c r="AA92" s="300"/>
      <c r="AB92" s="300"/>
      <c r="AC92" s="300"/>
      <c r="AD92" s="300"/>
      <c r="AE92" s="300"/>
      <c r="AF92" s="300"/>
      <c r="AG92" s="300"/>
      <c r="AH92" s="300"/>
    </row>
    <row r="93" spans="8:34" x14ac:dyDescent="0.25">
      <c r="H93" s="300"/>
      <c r="I93" s="300"/>
      <c r="J93" s="300"/>
      <c r="K93" s="300"/>
      <c r="L93" s="300"/>
      <c r="M93" s="300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0"/>
      <c r="Z93" s="300"/>
      <c r="AA93" s="300"/>
      <c r="AB93" s="300"/>
      <c r="AC93" s="300"/>
      <c r="AD93" s="300"/>
      <c r="AE93" s="300"/>
      <c r="AF93" s="300"/>
      <c r="AG93" s="300"/>
      <c r="AH93" s="300"/>
    </row>
    <row r="94" spans="8:34" x14ac:dyDescent="0.25">
      <c r="H94" s="300"/>
      <c r="I94" s="300"/>
      <c r="J94" s="300"/>
      <c r="K94" s="300"/>
      <c r="L94" s="300"/>
      <c r="M94" s="300"/>
      <c r="N94" s="300"/>
      <c r="O94" s="300"/>
      <c r="P94" s="300"/>
      <c r="Q94" s="300"/>
      <c r="R94" s="300"/>
      <c r="S94" s="300"/>
      <c r="T94" s="300"/>
      <c r="U94" s="300"/>
      <c r="V94" s="300"/>
      <c r="W94" s="300"/>
      <c r="X94" s="300"/>
      <c r="Y94" s="300"/>
      <c r="Z94" s="300"/>
      <c r="AA94" s="300"/>
      <c r="AB94" s="300"/>
      <c r="AC94" s="300"/>
      <c r="AD94" s="300"/>
      <c r="AE94" s="300"/>
      <c r="AF94" s="300"/>
      <c r="AG94" s="300"/>
      <c r="AH94" s="300"/>
    </row>
    <row r="95" spans="8:34" x14ac:dyDescent="0.25">
      <c r="H95" s="300"/>
      <c r="I95" s="300"/>
      <c r="J95" s="300"/>
      <c r="K95" s="300"/>
      <c r="L95" s="300"/>
      <c r="M95" s="300"/>
      <c r="N95" s="300"/>
      <c r="O95" s="300"/>
      <c r="P95" s="300"/>
      <c r="Q95" s="300"/>
      <c r="R95" s="300"/>
      <c r="S95" s="300"/>
      <c r="T95" s="300"/>
      <c r="U95" s="300"/>
      <c r="V95" s="300"/>
      <c r="W95" s="300"/>
      <c r="X95" s="300"/>
      <c r="Y95" s="300"/>
      <c r="Z95" s="300"/>
      <c r="AA95" s="300"/>
      <c r="AB95" s="300"/>
      <c r="AC95" s="300"/>
      <c r="AD95" s="300"/>
      <c r="AE95" s="300"/>
      <c r="AF95" s="300"/>
      <c r="AG95" s="300"/>
      <c r="AH95" s="300"/>
    </row>
    <row r="96" spans="8:34" x14ac:dyDescent="0.25">
      <c r="H96" s="300"/>
      <c r="I96" s="300"/>
      <c r="J96" s="300"/>
      <c r="K96" s="300"/>
      <c r="L96" s="300"/>
      <c r="M96" s="300"/>
      <c r="N96" s="300"/>
      <c r="O96" s="300"/>
      <c r="P96" s="300"/>
      <c r="Q96" s="300"/>
      <c r="R96" s="300"/>
      <c r="S96" s="300"/>
      <c r="T96" s="300"/>
      <c r="U96" s="300"/>
      <c r="V96" s="300"/>
      <c r="W96" s="300"/>
      <c r="X96" s="300"/>
      <c r="Y96" s="300"/>
      <c r="Z96" s="300"/>
      <c r="AA96" s="300"/>
      <c r="AB96" s="300"/>
      <c r="AC96" s="300"/>
      <c r="AD96" s="300"/>
      <c r="AE96" s="300"/>
      <c r="AF96" s="300"/>
      <c r="AG96" s="300"/>
      <c r="AH96" s="300"/>
    </row>
    <row r="97" spans="8:34" x14ac:dyDescent="0.25">
      <c r="H97" s="300"/>
      <c r="I97" s="300"/>
      <c r="J97" s="300"/>
      <c r="K97" s="300"/>
      <c r="L97" s="300"/>
      <c r="M97" s="300"/>
      <c r="N97" s="300"/>
      <c r="O97" s="300"/>
      <c r="P97" s="300"/>
      <c r="Q97" s="300"/>
      <c r="R97" s="300"/>
      <c r="S97" s="300"/>
      <c r="T97" s="300"/>
      <c r="U97" s="300"/>
      <c r="V97" s="300"/>
      <c r="W97" s="300"/>
      <c r="X97" s="300"/>
      <c r="Y97" s="300"/>
      <c r="Z97" s="300"/>
      <c r="AA97" s="300"/>
      <c r="AB97" s="300"/>
      <c r="AC97" s="300"/>
      <c r="AD97" s="300"/>
      <c r="AE97" s="300"/>
      <c r="AF97" s="300"/>
      <c r="AG97" s="300"/>
      <c r="AH97" s="300"/>
    </row>
    <row r="98" spans="8:34" x14ac:dyDescent="0.25">
      <c r="H98" s="300"/>
      <c r="I98" s="300"/>
      <c r="J98" s="300"/>
      <c r="K98" s="300"/>
      <c r="L98" s="300"/>
      <c r="M98" s="300"/>
      <c r="N98" s="300"/>
      <c r="O98" s="300"/>
      <c r="P98" s="300"/>
      <c r="Q98" s="300"/>
      <c r="R98" s="300"/>
      <c r="S98" s="300"/>
      <c r="T98" s="300"/>
      <c r="U98" s="300"/>
      <c r="V98" s="300"/>
      <c r="W98" s="300"/>
      <c r="X98" s="300"/>
      <c r="Y98" s="300"/>
      <c r="Z98" s="300"/>
      <c r="AA98" s="300"/>
      <c r="AB98" s="300"/>
      <c r="AC98" s="300"/>
      <c r="AD98" s="300"/>
      <c r="AE98" s="300"/>
      <c r="AF98" s="300"/>
      <c r="AG98" s="300"/>
      <c r="AH98" s="300"/>
    </row>
    <row r="99" spans="8:34" x14ac:dyDescent="0.25">
      <c r="H99" s="300"/>
      <c r="I99" s="300"/>
      <c r="J99" s="300"/>
      <c r="K99" s="300"/>
      <c r="L99" s="300"/>
      <c r="M99" s="300"/>
      <c r="N99" s="300"/>
      <c r="O99" s="300"/>
      <c r="P99" s="300"/>
      <c r="Q99" s="300"/>
      <c r="R99" s="300"/>
      <c r="S99" s="300"/>
      <c r="T99" s="300"/>
      <c r="U99" s="300"/>
      <c r="V99" s="300"/>
      <c r="W99" s="300"/>
      <c r="X99" s="300"/>
      <c r="Y99" s="300"/>
      <c r="Z99" s="300"/>
      <c r="AA99" s="300"/>
      <c r="AB99" s="300"/>
      <c r="AC99" s="300"/>
      <c r="AD99" s="300"/>
      <c r="AE99" s="300"/>
      <c r="AF99" s="300"/>
      <c r="AG99" s="300"/>
      <c r="AH99" s="300"/>
    </row>
    <row r="100" spans="8:34" x14ac:dyDescent="0.25"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0"/>
      <c r="Y100" s="300"/>
      <c r="Z100" s="300"/>
      <c r="AA100" s="300"/>
      <c r="AB100" s="300"/>
      <c r="AC100" s="300"/>
      <c r="AD100" s="300"/>
      <c r="AE100" s="300"/>
      <c r="AF100" s="300"/>
      <c r="AG100" s="300"/>
      <c r="AH100" s="300"/>
    </row>
    <row r="101" spans="8:34" x14ac:dyDescent="0.25">
      <c r="H101" s="300"/>
      <c r="I101" s="300"/>
      <c r="J101" s="300"/>
      <c r="K101" s="300"/>
      <c r="L101" s="300"/>
      <c r="M101" s="300"/>
      <c r="N101" s="300"/>
      <c r="O101" s="300"/>
      <c r="P101" s="300"/>
      <c r="Q101" s="300"/>
      <c r="R101" s="300"/>
      <c r="S101" s="300"/>
      <c r="T101" s="300"/>
      <c r="U101" s="300"/>
      <c r="V101" s="300"/>
      <c r="W101" s="300"/>
      <c r="X101" s="300"/>
      <c r="Y101" s="300"/>
      <c r="Z101" s="300"/>
      <c r="AA101" s="300"/>
      <c r="AB101" s="300"/>
      <c r="AC101" s="300"/>
      <c r="AD101" s="300"/>
      <c r="AE101" s="300"/>
      <c r="AF101" s="300"/>
      <c r="AG101" s="300"/>
      <c r="AH101" s="300"/>
    </row>
    <row r="102" spans="8:34" x14ac:dyDescent="0.25">
      <c r="H102" s="300"/>
      <c r="I102" s="300"/>
      <c r="J102" s="300"/>
      <c r="K102" s="300"/>
      <c r="L102" s="300"/>
      <c r="M102" s="300"/>
      <c r="N102" s="300"/>
      <c r="O102" s="300"/>
      <c r="P102" s="300"/>
      <c r="Q102" s="300"/>
      <c r="R102" s="300"/>
      <c r="S102" s="300"/>
      <c r="T102" s="300"/>
      <c r="U102" s="300"/>
      <c r="V102" s="300"/>
      <c r="W102" s="300"/>
      <c r="X102" s="300"/>
      <c r="Y102" s="300"/>
      <c r="Z102" s="300"/>
      <c r="AA102" s="300"/>
      <c r="AB102" s="300"/>
      <c r="AC102" s="300"/>
      <c r="AD102" s="300"/>
      <c r="AE102" s="300"/>
      <c r="AF102" s="300"/>
      <c r="AG102" s="300"/>
      <c r="AH102" s="300"/>
    </row>
    <row r="103" spans="8:34" x14ac:dyDescent="0.25">
      <c r="H103" s="300"/>
      <c r="I103" s="300"/>
      <c r="J103" s="300"/>
      <c r="K103" s="300"/>
      <c r="L103" s="300"/>
      <c r="M103" s="300"/>
      <c r="N103" s="300"/>
      <c r="O103" s="300"/>
      <c r="P103" s="300"/>
      <c r="Q103" s="300"/>
      <c r="R103" s="300"/>
      <c r="S103" s="300"/>
      <c r="T103" s="300"/>
      <c r="U103" s="300"/>
      <c r="V103" s="300"/>
      <c r="W103" s="300"/>
      <c r="X103" s="300"/>
      <c r="Y103" s="300"/>
      <c r="Z103" s="300"/>
      <c r="AA103" s="300"/>
      <c r="AB103" s="300"/>
      <c r="AC103" s="300"/>
      <c r="AD103" s="300"/>
      <c r="AE103" s="300"/>
      <c r="AF103" s="300"/>
      <c r="AG103" s="300"/>
      <c r="AH103" s="300"/>
    </row>
    <row r="104" spans="8:34" x14ac:dyDescent="0.25">
      <c r="H104" s="300"/>
      <c r="I104" s="300"/>
      <c r="J104" s="300"/>
      <c r="K104" s="300"/>
      <c r="L104" s="300"/>
      <c r="M104" s="300"/>
      <c r="N104" s="300"/>
      <c r="O104" s="300"/>
      <c r="P104" s="300"/>
      <c r="Q104" s="300"/>
      <c r="R104" s="300"/>
      <c r="S104" s="300"/>
      <c r="T104" s="300"/>
      <c r="U104" s="300"/>
      <c r="V104" s="300"/>
      <c r="W104" s="300"/>
      <c r="X104" s="300"/>
      <c r="Y104" s="300"/>
      <c r="Z104" s="300"/>
      <c r="AA104" s="300"/>
      <c r="AB104" s="300"/>
      <c r="AC104" s="300"/>
      <c r="AD104" s="300"/>
      <c r="AE104" s="300"/>
      <c r="AF104" s="300"/>
      <c r="AG104" s="300"/>
      <c r="AH104" s="300"/>
    </row>
    <row r="105" spans="8:34" x14ac:dyDescent="0.25">
      <c r="H105" s="300"/>
      <c r="I105" s="300"/>
      <c r="J105" s="300"/>
      <c r="K105" s="300"/>
      <c r="L105" s="300"/>
      <c r="M105" s="300"/>
      <c r="N105" s="300"/>
      <c r="O105" s="300"/>
      <c r="P105" s="300"/>
      <c r="Q105" s="300"/>
      <c r="R105" s="300"/>
      <c r="S105" s="300"/>
      <c r="T105" s="300"/>
      <c r="U105" s="300"/>
      <c r="V105" s="300"/>
      <c r="W105" s="300"/>
      <c r="X105" s="300"/>
      <c r="Y105" s="300"/>
      <c r="Z105" s="300"/>
      <c r="AA105" s="300"/>
      <c r="AB105" s="300"/>
      <c r="AC105" s="300"/>
      <c r="AD105" s="300"/>
      <c r="AE105" s="300"/>
      <c r="AF105" s="300"/>
      <c r="AG105" s="300"/>
      <c r="AH105" s="300"/>
    </row>
    <row r="106" spans="8:34" x14ac:dyDescent="0.25">
      <c r="H106" s="300"/>
      <c r="I106" s="300"/>
      <c r="J106" s="300"/>
      <c r="K106" s="300"/>
      <c r="L106" s="300"/>
      <c r="M106" s="300"/>
      <c r="N106" s="300"/>
      <c r="O106" s="300"/>
      <c r="P106" s="300"/>
      <c r="Q106" s="300"/>
      <c r="R106" s="300"/>
      <c r="S106" s="300"/>
      <c r="T106" s="300"/>
      <c r="U106" s="300"/>
      <c r="V106" s="300"/>
      <c r="W106" s="300"/>
      <c r="X106" s="300"/>
      <c r="Y106" s="300"/>
      <c r="Z106" s="300"/>
      <c r="AA106" s="300"/>
      <c r="AB106" s="300"/>
      <c r="AC106" s="300"/>
      <c r="AD106" s="300"/>
      <c r="AE106" s="300"/>
      <c r="AF106" s="300"/>
      <c r="AG106" s="300"/>
      <c r="AH106" s="300"/>
    </row>
    <row r="107" spans="8:34" x14ac:dyDescent="0.25">
      <c r="H107" s="300"/>
      <c r="I107" s="300"/>
      <c r="J107" s="300"/>
      <c r="K107" s="300"/>
      <c r="L107" s="300"/>
      <c r="M107" s="300"/>
      <c r="N107" s="300"/>
      <c r="O107" s="300"/>
      <c r="P107" s="300"/>
      <c r="Q107" s="300"/>
      <c r="R107" s="300"/>
      <c r="S107" s="300"/>
      <c r="T107" s="300"/>
      <c r="U107" s="300"/>
      <c r="V107" s="300"/>
      <c r="W107" s="300"/>
      <c r="X107" s="300"/>
      <c r="Y107" s="300"/>
      <c r="Z107" s="300"/>
      <c r="AA107" s="300"/>
      <c r="AB107" s="300"/>
      <c r="AC107" s="300"/>
      <c r="AD107" s="300"/>
      <c r="AE107" s="300"/>
      <c r="AF107" s="300"/>
      <c r="AG107" s="300"/>
      <c r="AH107" s="300"/>
    </row>
    <row r="108" spans="8:34" x14ac:dyDescent="0.25">
      <c r="H108" s="300"/>
      <c r="I108" s="300"/>
      <c r="J108" s="300"/>
      <c r="K108" s="300"/>
      <c r="L108" s="300"/>
      <c r="M108" s="300"/>
      <c r="N108" s="300"/>
      <c r="O108" s="300"/>
      <c r="P108" s="300"/>
      <c r="Q108" s="300"/>
      <c r="R108" s="300"/>
      <c r="S108" s="300"/>
      <c r="T108" s="300"/>
      <c r="U108" s="300"/>
      <c r="V108" s="300"/>
      <c r="W108" s="300"/>
      <c r="X108" s="300"/>
      <c r="Y108" s="300"/>
      <c r="Z108" s="300"/>
      <c r="AA108" s="300"/>
      <c r="AB108" s="300"/>
      <c r="AC108" s="300"/>
      <c r="AD108" s="300"/>
      <c r="AE108" s="300"/>
      <c r="AF108" s="300"/>
      <c r="AG108" s="300"/>
      <c r="AH108" s="300"/>
    </row>
    <row r="109" spans="8:34" x14ac:dyDescent="0.25">
      <c r="H109" s="300"/>
      <c r="I109" s="300"/>
      <c r="J109" s="300"/>
      <c r="K109" s="300"/>
      <c r="L109" s="300"/>
      <c r="M109" s="300"/>
      <c r="N109" s="300"/>
      <c r="O109" s="300"/>
      <c r="P109" s="300"/>
      <c r="Q109" s="300"/>
      <c r="R109" s="300"/>
      <c r="S109" s="300"/>
      <c r="T109" s="300"/>
      <c r="U109" s="300"/>
      <c r="V109" s="300"/>
      <c r="W109" s="300"/>
      <c r="X109" s="300"/>
      <c r="Y109" s="300"/>
      <c r="Z109" s="300"/>
      <c r="AA109" s="300"/>
      <c r="AB109" s="300"/>
      <c r="AC109" s="300"/>
      <c r="AD109" s="300"/>
      <c r="AE109" s="300"/>
      <c r="AF109" s="300"/>
      <c r="AG109" s="300"/>
      <c r="AH109" s="300"/>
    </row>
    <row r="110" spans="8:34" x14ac:dyDescent="0.25">
      <c r="H110" s="300"/>
      <c r="I110" s="300"/>
      <c r="J110" s="300"/>
      <c r="K110" s="300"/>
      <c r="L110" s="300"/>
      <c r="M110" s="300"/>
      <c r="N110" s="300"/>
      <c r="O110" s="300"/>
      <c r="P110" s="300"/>
      <c r="Q110" s="300"/>
      <c r="R110" s="300"/>
      <c r="S110" s="300"/>
      <c r="T110" s="300"/>
      <c r="U110" s="300"/>
      <c r="V110" s="300"/>
      <c r="W110" s="300"/>
      <c r="X110" s="300"/>
      <c r="Y110" s="300"/>
      <c r="Z110" s="300"/>
      <c r="AA110" s="300"/>
      <c r="AB110" s="300"/>
      <c r="AC110" s="300"/>
      <c r="AD110" s="300"/>
      <c r="AE110" s="300"/>
      <c r="AF110" s="300"/>
      <c r="AG110" s="300"/>
      <c r="AH110" s="300"/>
    </row>
    <row r="111" spans="8:34" x14ac:dyDescent="0.25">
      <c r="H111" s="300"/>
      <c r="I111" s="300"/>
      <c r="J111" s="300"/>
      <c r="K111" s="300"/>
      <c r="L111" s="300"/>
      <c r="M111" s="300"/>
      <c r="N111" s="300"/>
      <c r="O111" s="300"/>
      <c r="P111" s="300"/>
      <c r="Q111" s="300"/>
      <c r="R111" s="300"/>
      <c r="S111" s="300"/>
      <c r="T111" s="300"/>
      <c r="U111" s="300"/>
      <c r="V111" s="300"/>
      <c r="W111" s="300"/>
      <c r="X111" s="300"/>
      <c r="Y111" s="300"/>
      <c r="Z111" s="300"/>
      <c r="AA111" s="300"/>
      <c r="AB111" s="300"/>
      <c r="AC111" s="300"/>
      <c r="AD111" s="300"/>
      <c r="AE111" s="300"/>
      <c r="AF111" s="300"/>
      <c r="AG111" s="300"/>
      <c r="AH111" s="300"/>
    </row>
    <row r="112" spans="8:34" x14ac:dyDescent="0.25">
      <c r="H112" s="300"/>
      <c r="I112" s="300"/>
      <c r="J112" s="300"/>
      <c r="K112" s="300"/>
      <c r="L112" s="300"/>
      <c r="M112" s="300"/>
      <c r="N112" s="300"/>
      <c r="O112" s="300"/>
      <c r="P112" s="300"/>
      <c r="Q112" s="300"/>
      <c r="R112" s="300"/>
      <c r="S112" s="300"/>
      <c r="T112" s="300"/>
      <c r="U112" s="300"/>
      <c r="V112" s="300"/>
      <c r="W112" s="300"/>
      <c r="X112" s="300"/>
      <c r="Y112" s="300"/>
      <c r="Z112" s="300"/>
      <c r="AA112" s="300"/>
      <c r="AB112" s="300"/>
      <c r="AC112" s="300"/>
      <c r="AD112" s="300"/>
      <c r="AE112" s="300"/>
      <c r="AF112" s="300"/>
      <c r="AG112" s="300"/>
      <c r="AH112" s="300"/>
    </row>
    <row r="113" spans="8:34" x14ac:dyDescent="0.25">
      <c r="H113" s="300"/>
      <c r="I113" s="300"/>
      <c r="J113" s="300"/>
      <c r="K113" s="300"/>
      <c r="L113" s="300"/>
      <c r="M113" s="300"/>
      <c r="N113" s="300"/>
      <c r="O113" s="300"/>
      <c r="P113" s="300"/>
      <c r="Q113" s="300"/>
      <c r="R113" s="300"/>
      <c r="S113" s="300"/>
      <c r="T113" s="300"/>
      <c r="U113" s="300"/>
      <c r="V113" s="300"/>
      <c r="W113" s="300"/>
      <c r="X113" s="300"/>
      <c r="Y113" s="300"/>
      <c r="Z113" s="300"/>
      <c r="AA113" s="300"/>
      <c r="AB113" s="300"/>
      <c r="AC113" s="300"/>
      <c r="AD113" s="300"/>
      <c r="AE113" s="300"/>
      <c r="AF113" s="300"/>
      <c r="AG113" s="300"/>
      <c r="AH113" s="300"/>
    </row>
    <row r="114" spans="8:34" x14ac:dyDescent="0.25">
      <c r="H114" s="300"/>
      <c r="I114" s="300"/>
      <c r="J114" s="300"/>
      <c r="K114" s="300"/>
      <c r="L114" s="300"/>
      <c r="M114" s="300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0"/>
      <c r="Z114" s="300"/>
      <c r="AA114" s="300"/>
      <c r="AB114" s="300"/>
      <c r="AC114" s="300"/>
      <c r="AD114" s="300"/>
      <c r="AE114" s="300"/>
      <c r="AF114" s="300"/>
      <c r="AG114" s="300"/>
      <c r="AH114" s="300"/>
    </row>
    <row r="115" spans="8:34" x14ac:dyDescent="0.25">
      <c r="H115" s="300"/>
      <c r="I115" s="300"/>
      <c r="J115" s="300"/>
      <c r="K115" s="300"/>
      <c r="L115" s="300"/>
      <c r="M115" s="300"/>
      <c r="N115" s="300"/>
      <c r="O115" s="300"/>
      <c r="P115" s="300"/>
      <c r="Q115" s="300"/>
      <c r="R115" s="300"/>
      <c r="S115" s="300"/>
      <c r="T115" s="300"/>
      <c r="U115" s="300"/>
      <c r="V115" s="300"/>
      <c r="W115" s="300"/>
      <c r="X115" s="300"/>
      <c r="Y115" s="300"/>
      <c r="Z115" s="300"/>
      <c r="AA115" s="300"/>
      <c r="AB115" s="300"/>
      <c r="AC115" s="300"/>
      <c r="AD115" s="300"/>
      <c r="AE115" s="300"/>
      <c r="AF115" s="300"/>
      <c r="AG115" s="300"/>
      <c r="AH115" s="300"/>
    </row>
    <row r="116" spans="8:34" x14ac:dyDescent="0.25">
      <c r="H116" s="300"/>
      <c r="I116" s="300"/>
      <c r="J116" s="300"/>
      <c r="K116" s="300"/>
      <c r="L116" s="300"/>
      <c r="M116" s="300"/>
      <c r="N116" s="300"/>
      <c r="O116" s="300"/>
      <c r="P116" s="300"/>
      <c r="Q116" s="300"/>
      <c r="R116" s="300"/>
      <c r="S116" s="300"/>
      <c r="T116" s="300"/>
      <c r="U116" s="300"/>
      <c r="V116" s="300"/>
      <c r="W116" s="300"/>
      <c r="X116" s="300"/>
      <c r="Y116" s="300"/>
      <c r="Z116" s="300"/>
      <c r="AA116" s="300"/>
      <c r="AB116" s="300"/>
      <c r="AC116" s="300"/>
      <c r="AD116" s="300"/>
      <c r="AE116" s="300"/>
      <c r="AF116" s="300"/>
      <c r="AG116" s="300"/>
      <c r="AH116" s="300"/>
    </row>
    <row r="117" spans="8:34" x14ac:dyDescent="0.25">
      <c r="H117" s="300"/>
      <c r="I117" s="300"/>
      <c r="J117" s="300"/>
      <c r="K117" s="300"/>
      <c r="L117" s="300"/>
      <c r="M117" s="300"/>
      <c r="N117" s="300"/>
      <c r="O117" s="300"/>
      <c r="P117" s="300"/>
      <c r="Q117" s="300"/>
      <c r="R117" s="300"/>
      <c r="S117" s="300"/>
      <c r="T117" s="300"/>
      <c r="U117" s="300"/>
      <c r="V117" s="300"/>
      <c r="W117" s="300"/>
      <c r="X117" s="300"/>
      <c r="Y117" s="300"/>
      <c r="Z117" s="300"/>
      <c r="AA117" s="300"/>
      <c r="AB117" s="300"/>
      <c r="AC117" s="300"/>
      <c r="AD117" s="300"/>
      <c r="AE117" s="300"/>
      <c r="AF117" s="300"/>
      <c r="AG117" s="300"/>
      <c r="AH117" s="300"/>
    </row>
    <row r="118" spans="8:34" x14ac:dyDescent="0.25">
      <c r="H118" s="300"/>
      <c r="I118" s="300"/>
      <c r="J118" s="300"/>
      <c r="K118" s="300"/>
      <c r="L118" s="300"/>
      <c r="M118" s="300"/>
      <c r="N118" s="300"/>
      <c r="O118" s="300"/>
      <c r="P118" s="300"/>
      <c r="Q118" s="300"/>
      <c r="R118" s="300"/>
      <c r="S118" s="300"/>
      <c r="T118" s="300"/>
      <c r="U118" s="300"/>
      <c r="V118" s="300"/>
      <c r="W118" s="300"/>
      <c r="X118" s="300"/>
      <c r="Y118" s="300"/>
      <c r="Z118" s="300"/>
      <c r="AA118" s="300"/>
      <c r="AB118" s="300"/>
      <c r="AC118" s="300"/>
      <c r="AD118" s="300"/>
      <c r="AE118" s="300"/>
      <c r="AF118" s="300"/>
      <c r="AG118" s="300"/>
      <c r="AH118" s="300"/>
    </row>
    <row r="119" spans="8:34" x14ac:dyDescent="0.25">
      <c r="H119" s="300"/>
      <c r="I119" s="300"/>
      <c r="J119" s="300"/>
      <c r="K119" s="300"/>
      <c r="L119" s="300"/>
      <c r="M119" s="300"/>
      <c r="N119" s="300"/>
      <c r="O119" s="300"/>
      <c r="P119" s="300"/>
      <c r="Q119" s="300"/>
      <c r="R119" s="300"/>
      <c r="S119" s="300"/>
      <c r="T119" s="300"/>
      <c r="U119" s="300"/>
      <c r="V119" s="300"/>
      <c r="W119" s="300"/>
      <c r="X119" s="300"/>
      <c r="Y119" s="300"/>
      <c r="Z119" s="300"/>
      <c r="AA119" s="300"/>
      <c r="AB119" s="300"/>
      <c r="AC119" s="300"/>
      <c r="AD119" s="300"/>
      <c r="AE119" s="300"/>
      <c r="AF119" s="300"/>
      <c r="AG119" s="300"/>
      <c r="AH119" s="300"/>
    </row>
    <row r="120" spans="8:34" x14ac:dyDescent="0.25">
      <c r="H120" s="300"/>
      <c r="I120" s="300"/>
      <c r="J120" s="300"/>
      <c r="K120" s="300"/>
      <c r="L120" s="300"/>
      <c r="M120" s="300"/>
      <c r="N120" s="300"/>
      <c r="O120" s="300"/>
      <c r="P120" s="300"/>
      <c r="Q120" s="300"/>
      <c r="R120" s="300"/>
      <c r="S120" s="300"/>
      <c r="T120" s="300"/>
      <c r="U120" s="300"/>
      <c r="V120" s="300"/>
      <c r="W120" s="300"/>
      <c r="X120" s="300"/>
      <c r="Y120" s="300"/>
      <c r="Z120" s="300"/>
      <c r="AA120" s="300"/>
      <c r="AB120" s="300"/>
      <c r="AC120" s="300"/>
      <c r="AD120" s="300"/>
      <c r="AE120" s="300"/>
      <c r="AF120" s="300"/>
      <c r="AG120" s="300"/>
      <c r="AH120" s="300"/>
    </row>
    <row r="121" spans="8:34" x14ac:dyDescent="0.25">
      <c r="H121" s="300"/>
      <c r="I121" s="300"/>
      <c r="J121" s="300"/>
      <c r="K121" s="300"/>
      <c r="L121" s="300"/>
      <c r="M121" s="300"/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/>
    </row>
    <row r="122" spans="8:34" x14ac:dyDescent="0.25">
      <c r="H122" s="300"/>
      <c r="I122" s="300"/>
      <c r="J122" s="300"/>
      <c r="K122" s="300"/>
      <c r="L122" s="300"/>
      <c r="M122" s="300"/>
      <c r="N122" s="300"/>
      <c r="O122" s="300"/>
      <c r="P122" s="300"/>
      <c r="Q122" s="300"/>
      <c r="R122" s="300"/>
      <c r="S122" s="300"/>
      <c r="T122" s="300"/>
      <c r="U122" s="300"/>
      <c r="V122" s="300"/>
      <c r="W122" s="300"/>
      <c r="X122" s="300"/>
      <c r="Y122" s="300"/>
      <c r="Z122" s="300"/>
      <c r="AA122" s="300"/>
      <c r="AB122" s="300"/>
      <c r="AC122" s="300"/>
      <c r="AD122" s="300"/>
      <c r="AE122" s="300"/>
      <c r="AF122" s="300"/>
      <c r="AG122" s="300"/>
      <c r="AH122" s="300"/>
    </row>
    <row r="123" spans="8:34" x14ac:dyDescent="0.25">
      <c r="H123" s="300"/>
      <c r="I123" s="300"/>
      <c r="J123" s="300"/>
      <c r="K123" s="300"/>
      <c r="L123" s="300"/>
      <c r="M123" s="300"/>
      <c r="N123" s="300"/>
      <c r="O123" s="300"/>
      <c r="P123" s="300"/>
      <c r="Q123" s="300"/>
      <c r="R123" s="300"/>
      <c r="S123" s="300"/>
      <c r="T123" s="300"/>
      <c r="U123" s="300"/>
      <c r="V123" s="300"/>
      <c r="W123" s="300"/>
      <c r="X123" s="300"/>
      <c r="Y123" s="300"/>
      <c r="Z123" s="300"/>
      <c r="AA123" s="300"/>
      <c r="AB123" s="300"/>
      <c r="AC123" s="300"/>
      <c r="AD123" s="300"/>
      <c r="AE123" s="300"/>
      <c r="AF123" s="300"/>
      <c r="AG123" s="300"/>
      <c r="AH123" s="300"/>
    </row>
    <row r="124" spans="8:34" x14ac:dyDescent="0.25">
      <c r="H124" s="300"/>
      <c r="I124" s="300"/>
      <c r="J124" s="300"/>
      <c r="K124" s="300"/>
      <c r="L124" s="300"/>
      <c r="M124" s="300"/>
      <c r="N124" s="300"/>
      <c r="O124" s="300"/>
      <c r="P124" s="300"/>
      <c r="Q124" s="300"/>
      <c r="R124" s="300"/>
      <c r="S124" s="300"/>
      <c r="T124" s="300"/>
      <c r="U124" s="300"/>
      <c r="V124" s="300"/>
      <c r="W124" s="300"/>
      <c r="X124" s="300"/>
      <c r="Y124" s="300"/>
      <c r="Z124" s="300"/>
      <c r="AA124" s="300"/>
      <c r="AB124" s="300"/>
      <c r="AC124" s="300"/>
      <c r="AD124" s="300"/>
      <c r="AE124" s="300"/>
      <c r="AF124" s="300"/>
      <c r="AG124" s="300"/>
      <c r="AH124" s="300"/>
    </row>
    <row r="125" spans="8:34" x14ac:dyDescent="0.25">
      <c r="H125" s="300"/>
      <c r="I125" s="300"/>
      <c r="J125" s="300"/>
      <c r="K125" s="300"/>
      <c r="L125" s="300"/>
      <c r="M125" s="300"/>
      <c r="N125" s="300"/>
      <c r="O125" s="300"/>
      <c r="P125" s="300"/>
      <c r="Q125" s="300"/>
      <c r="R125" s="300"/>
      <c r="S125" s="300"/>
      <c r="T125" s="300"/>
      <c r="U125" s="300"/>
      <c r="V125" s="300"/>
      <c r="W125" s="300"/>
      <c r="X125" s="300"/>
      <c r="Y125" s="300"/>
      <c r="Z125" s="300"/>
      <c r="AA125" s="300"/>
      <c r="AB125" s="300"/>
      <c r="AC125" s="300"/>
      <c r="AD125" s="300"/>
      <c r="AE125" s="300"/>
      <c r="AF125" s="300"/>
      <c r="AG125" s="300"/>
      <c r="AH125" s="300"/>
    </row>
    <row r="126" spans="8:34" x14ac:dyDescent="0.25">
      <c r="H126" s="300"/>
      <c r="I126" s="300"/>
      <c r="J126" s="300"/>
      <c r="K126" s="300"/>
      <c r="L126" s="300"/>
      <c r="M126" s="300"/>
      <c r="N126" s="300"/>
      <c r="O126" s="300"/>
      <c r="P126" s="300"/>
      <c r="Q126" s="300"/>
      <c r="R126" s="300"/>
      <c r="S126" s="300"/>
      <c r="T126" s="300"/>
      <c r="U126" s="300"/>
      <c r="V126" s="300"/>
      <c r="W126" s="300"/>
      <c r="X126" s="300"/>
      <c r="Y126" s="300"/>
      <c r="Z126" s="300"/>
      <c r="AA126" s="300"/>
      <c r="AB126" s="300"/>
      <c r="AC126" s="300"/>
      <c r="AD126" s="300"/>
      <c r="AE126" s="300"/>
      <c r="AF126" s="300"/>
      <c r="AG126" s="300"/>
      <c r="AH126" s="300"/>
    </row>
    <row r="127" spans="8:34" x14ac:dyDescent="0.25">
      <c r="H127" s="300"/>
      <c r="I127" s="300"/>
      <c r="J127" s="300"/>
      <c r="K127" s="300"/>
      <c r="L127" s="300"/>
      <c r="M127" s="300"/>
      <c r="N127" s="300"/>
      <c r="O127" s="300"/>
      <c r="P127" s="300"/>
      <c r="Q127" s="300"/>
      <c r="R127" s="300"/>
      <c r="S127" s="300"/>
      <c r="T127" s="300"/>
      <c r="U127" s="300"/>
      <c r="V127" s="300"/>
      <c r="W127" s="300"/>
      <c r="X127" s="300"/>
      <c r="Y127" s="300"/>
      <c r="Z127" s="300"/>
      <c r="AA127" s="300"/>
      <c r="AB127" s="300"/>
      <c r="AC127" s="300"/>
      <c r="AD127" s="300"/>
      <c r="AE127" s="300"/>
      <c r="AF127" s="300"/>
      <c r="AG127" s="300"/>
      <c r="AH127" s="300"/>
    </row>
    <row r="128" spans="8:34" x14ac:dyDescent="0.25">
      <c r="H128" s="300"/>
      <c r="I128" s="300"/>
      <c r="J128" s="300"/>
      <c r="K128" s="300"/>
      <c r="L128" s="300"/>
      <c r="M128" s="300"/>
      <c r="N128" s="300"/>
      <c r="O128" s="300"/>
      <c r="P128" s="300"/>
      <c r="Q128" s="300"/>
      <c r="R128" s="300"/>
      <c r="S128" s="300"/>
      <c r="T128" s="300"/>
      <c r="U128" s="300"/>
      <c r="V128" s="300"/>
      <c r="W128" s="300"/>
      <c r="X128" s="300"/>
      <c r="Y128" s="300"/>
      <c r="Z128" s="300"/>
      <c r="AA128" s="300"/>
      <c r="AB128" s="300"/>
      <c r="AC128" s="300"/>
      <c r="AD128" s="300"/>
      <c r="AE128" s="300"/>
      <c r="AF128" s="300"/>
      <c r="AG128" s="300"/>
      <c r="AH128" s="300"/>
    </row>
    <row r="129" spans="8:34" x14ac:dyDescent="0.25">
      <c r="H129" s="300"/>
      <c r="I129" s="300"/>
      <c r="J129" s="300"/>
      <c r="K129" s="300"/>
      <c r="L129" s="300"/>
      <c r="M129" s="300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0"/>
      <c r="Z129" s="300"/>
      <c r="AA129" s="300"/>
      <c r="AB129" s="300"/>
      <c r="AC129" s="300"/>
      <c r="AD129" s="300"/>
      <c r="AE129" s="300"/>
      <c r="AF129" s="300"/>
      <c r="AG129" s="300"/>
      <c r="AH129" s="300"/>
    </row>
    <row r="130" spans="8:34" x14ac:dyDescent="0.25">
      <c r="H130" s="300"/>
      <c r="I130" s="300"/>
      <c r="J130" s="300"/>
      <c r="K130" s="300"/>
      <c r="L130" s="300"/>
      <c r="M130" s="300"/>
      <c r="N130" s="300"/>
      <c r="O130" s="300"/>
      <c r="P130" s="300"/>
      <c r="Q130" s="300"/>
      <c r="R130" s="300"/>
      <c r="S130" s="300"/>
      <c r="T130" s="300"/>
      <c r="U130" s="300"/>
      <c r="V130" s="300"/>
      <c r="W130" s="300"/>
      <c r="X130" s="300"/>
      <c r="Y130" s="300"/>
      <c r="Z130" s="300"/>
      <c r="AA130" s="300"/>
      <c r="AB130" s="300"/>
      <c r="AC130" s="300"/>
      <c r="AD130" s="300"/>
      <c r="AE130" s="300"/>
      <c r="AF130" s="300"/>
      <c r="AG130" s="300"/>
      <c r="AH130" s="300"/>
    </row>
    <row r="131" spans="8:34" x14ac:dyDescent="0.25">
      <c r="H131" s="300"/>
      <c r="I131" s="300"/>
      <c r="J131" s="300"/>
      <c r="K131" s="300"/>
      <c r="L131" s="300"/>
      <c r="M131" s="300"/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0"/>
      <c r="Z131" s="300"/>
      <c r="AA131" s="300"/>
      <c r="AB131" s="300"/>
      <c r="AC131" s="300"/>
      <c r="AD131" s="300"/>
      <c r="AE131" s="300"/>
      <c r="AF131" s="300"/>
      <c r="AG131" s="300"/>
      <c r="AH131" s="300"/>
    </row>
    <row r="132" spans="8:34" x14ac:dyDescent="0.25">
      <c r="H132" s="300"/>
      <c r="I132" s="300"/>
      <c r="J132" s="300"/>
      <c r="K132" s="300"/>
      <c r="L132" s="300"/>
      <c r="M132" s="300"/>
      <c r="N132" s="300"/>
      <c r="O132" s="300"/>
      <c r="P132" s="300"/>
      <c r="Q132" s="300"/>
      <c r="R132" s="300"/>
      <c r="S132" s="300"/>
      <c r="T132" s="300"/>
      <c r="U132" s="300"/>
      <c r="V132" s="300"/>
      <c r="W132" s="300"/>
      <c r="X132" s="300"/>
      <c r="Y132" s="300"/>
      <c r="Z132" s="300"/>
      <c r="AA132" s="300"/>
      <c r="AB132" s="300"/>
      <c r="AC132" s="300"/>
      <c r="AD132" s="300"/>
      <c r="AE132" s="300"/>
      <c r="AF132" s="300"/>
      <c r="AG132" s="300"/>
      <c r="AH132" s="300"/>
    </row>
    <row r="133" spans="8:34" x14ac:dyDescent="0.25">
      <c r="H133" s="300"/>
      <c r="I133" s="300"/>
      <c r="J133" s="300"/>
      <c r="K133" s="300"/>
      <c r="L133" s="300"/>
      <c r="M133" s="300"/>
      <c r="N133" s="300"/>
      <c r="O133" s="300"/>
      <c r="P133" s="300"/>
      <c r="Q133" s="300"/>
      <c r="R133" s="300"/>
      <c r="S133" s="300"/>
      <c r="T133" s="300"/>
      <c r="U133" s="300"/>
      <c r="V133" s="300"/>
      <c r="W133" s="300"/>
      <c r="X133" s="300"/>
      <c r="Y133" s="300"/>
      <c r="Z133" s="300"/>
      <c r="AA133" s="300"/>
      <c r="AB133" s="300"/>
      <c r="AC133" s="300"/>
      <c r="AD133" s="300"/>
      <c r="AE133" s="300"/>
      <c r="AF133" s="300"/>
      <c r="AG133" s="300"/>
      <c r="AH133" s="300"/>
    </row>
    <row r="134" spans="8:34" x14ac:dyDescent="0.25">
      <c r="H134" s="300"/>
      <c r="I134" s="300"/>
      <c r="J134" s="300"/>
      <c r="K134" s="300"/>
      <c r="L134" s="300"/>
      <c r="M134" s="300"/>
      <c r="N134" s="300"/>
      <c r="O134" s="300"/>
      <c r="P134" s="300"/>
      <c r="Q134" s="300"/>
      <c r="R134" s="300"/>
      <c r="S134" s="300"/>
      <c r="T134" s="300"/>
      <c r="U134" s="300"/>
      <c r="V134" s="300"/>
      <c r="W134" s="300"/>
      <c r="X134" s="300"/>
      <c r="Y134" s="300"/>
      <c r="Z134" s="300"/>
      <c r="AA134" s="300"/>
      <c r="AB134" s="300"/>
      <c r="AC134" s="300"/>
      <c r="AD134" s="300"/>
      <c r="AE134" s="300"/>
      <c r="AF134" s="300"/>
      <c r="AG134" s="300"/>
      <c r="AH134" s="300"/>
    </row>
    <row r="135" spans="8:34" x14ac:dyDescent="0.25">
      <c r="H135" s="300"/>
      <c r="I135" s="300"/>
      <c r="J135" s="300"/>
      <c r="K135" s="300"/>
      <c r="L135" s="300"/>
      <c r="M135" s="300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0"/>
      <c r="Z135" s="300"/>
      <c r="AA135" s="300"/>
      <c r="AB135" s="300"/>
      <c r="AC135" s="300"/>
      <c r="AD135" s="300"/>
      <c r="AE135" s="300"/>
      <c r="AF135" s="300"/>
      <c r="AG135" s="300"/>
      <c r="AH135" s="300"/>
    </row>
    <row r="136" spans="8:34" x14ac:dyDescent="0.25">
      <c r="H136" s="300"/>
      <c r="I136" s="300"/>
      <c r="J136" s="300"/>
      <c r="K136" s="300"/>
      <c r="L136" s="300"/>
      <c r="M136" s="300"/>
      <c r="N136" s="300"/>
      <c r="O136" s="300"/>
      <c r="P136" s="300"/>
      <c r="Q136" s="300"/>
      <c r="R136" s="300"/>
      <c r="S136" s="300"/>
      <c r="T136" s="300"/>
      <c r="U136" s="300"/>
      <c r="V136" s="300"/>
      <c r="W136" s="300"/>
      <c r="X136" s="300"/>
      <c r="Y136" s="300"/>
      <c r="Z136" s="300"/>
      <c r="AA136" s="300"/>
      <c r="AB136" s="300"/>
      <c r="AC136" s="300"/>
      <c r="AD136" s="300"/>
      <c r="AE136" s="300"/>
      <c r="AF136" s="300"/>
      <c r="AG136" s="300"/>
      <c r="AH136" s="300"/>
    </row>
    <row r="137" spans="8:34" x14ac:dyDescent="0.25">
      <c r="H137" s="300"/>
      <c r="I137" s="300"/>
      <c r="J137" s="300"/>
      <c r="K137" s="300"/>
      <c r="L137" s="300"/>
      <c r="M137" s="300"/>
      <c r="N137" s="300"/>
      <c r="O137" s="300"/>
      <c r="P137" s="300"/>
      <c r="Q137" s="300"/>
      <c r="R137" s="300"/>
      <c r="S137" s="300"/>
      <c r="T137" s="300"/>
      <c r="U137" s="300"/>
      <c r="V137" s="300"/>
      <c r="W137" s="300"/>
      <c r="X137" s="300"/>
      <c r="Y137" s="300"/>
      <c r="Z137" s="300"/>
      <c r="AA137" s="300"/>
      <c r="AB137" s="300"/>
      <c r="AC137" s="300"/>
      <c r="AD137" s="300"/>
      <c r="AE137" s="300"/>
      <c r="AF137" s="300"/>
      <c r="AG137" s="300"/>
      <c r="AH137" s="300"/>
    </row>
    <row r="138" spans="8:34" x14ac:dyDescent="0.25">
      <c r="H138" s="300"/>
      <c r="I138" s="300"/>
      <c r="J138" s="300"/>
      <c r="K138" s="300"/>
      <c r="L138" s="300"/>
      <c r="M138" s="300"/>
      <c r="N138" s="300"/>
      <c r="O138" s="300"/>
      <c r="P138" s="300"/>
      <c r="Q138" s="300"/>
      <c r="R138" s="300"/>
      <c r="S138" s="300"/>
      <c r="T138" s="300"/>
      <c r="U138" s="300"/>
      <c r="V138" s="300"/>
      <c r="W138" s="300"/>
      <c r="X138" s="300"/>
      <c r="Y138" s="300"/>
      <c r="Z138" s="300"/>
      <c r="AA138" s="300"/>
      <c r="AB138" s="300"/>
      <c r="AC138" s="300"/>
      <c r="AD138" s="300"/>
      <c r="AE138" s="300"/>
      <c r="AF138" s="300"/>
      <c r="AG138" s="300"/>
      <c r="AH138" s="300"/>
    </row>
    <row r="139" spans="8:34" x14ac:dyDescent="0.25">
      <c r="H139" s="300"/>
      <c r="I139" s="300"/>
      <c r="J139" s="300"/>
      <c r="K139" s="300"/>
      <c r="L139" s="300"/>
      <c r="M139" s="300"/>
      <c r="N139" s="300"/>
      <c r="O139" s="300"/>
      <c r="P139" s="300"/>
      <c r="Q139" s="300"/>
      <c r="R139" s="300"/>
      <c r="S139" s="300"/>
      <c r="T139" s="300"/>
      <c r="U139" s="300"/>
      <c r="V139" s="300"/>
      <c r="W139" s="300"/>
      <c r="X139" s="300"/>
      <c r="Y139" s="300"/>
      <c r="Z139" s="300"/>
      <c r="AA139" s="300"/>
      <c r="AB139" s="300"/>
      <c r="AC139" s="300"/>
      <c r="AD139" s="300"/>
      <c r="AE139" s="300"/>
      <c r="AF139" s="300"/>
      <c r="AG139" s="300"/>
      <c r="AH139" s="300"/>
    </row>
    <row r="140" spans="8:34" x14ac:dyDescent="0.25">
      <c r="H140" s="300"/>
      <c r="I140" s="300"/>
      <c r="J140" s="300"/>
      <c r="K140" s="300"/>
      <c r="L140" s="300"/>
      <c r="M140" s="300"/>
      <c r="N140" s="300"/>
      <c r="O140" s="300"/>
      <c r="P140" s="300"/>
      <c r="Q140" s="300"/>
      <c r="R140" s="300"/>
      <c r="S140" s="300"/>
      <c r="T140" s="300"/>
      <c r="U140" s="300"/>
      <c r="V140" s="300"/>
      <c r="W140" s="300"/>
      <c r="X140" s="300"/>
      <c r="Y140" s="300"/>
      <c r="Z140" s="300"/>
      <c r="AA140" s="300"/>
      <c r="AB140" s="300"/>
      <c r="AC140" s="300"/>
      <c r="AD140" s="300"/>
      <c r="AE140" s="300"/>
      <c r="AF140" s="300"/>
      <c r="AG140" s="300"/>
      <c r="AH140" s="300"/>
    </row>
    <row r="141" spans="8:34" x14ac:dyDescent="0.25">
      <c r="H141" s="300"/>
      <c r="I141" s="300"/>
      <c r="J141" s="300"/>
      <c r="K141" s="300"/>
      <c r="L141" s="300"/>
      <c r="M141" s="300"/>
      <c r="N141" s="300"/>
      <c r="O141" s="300"/>
      <c r="P141" s="300"/>
      <c r="Q141" s="300"/>
      <c r="R141" s="300"/>
      <c r="S141" s="300"/>
      <c r="T141" s="300"/>
      <c r="U141" s="300"/>
      <c r="V141" s="300"/>
      <c r="W141" s="300"/>
      <c r="X141" s="300"/>
      <c r="Y141" s="300"/>
      <c r="Z141" s="300"/>
      <c r="AA141" s="300"/>
      <c r="AB141" s="300"/>
      <c r="AC141" s="300"/>
      <c r="AD141" s="300"/>
      <c r="AE141" s="300"/>
      <c r="AF141" s="300"/>
      <c r="AG141" s="300"/>
      <c r="AH141" s="300"/>
    </row>
    <row r="142" spans="8:34" x14ac:dyDescent="0.25">
      <c r="H142" s="300"/>
      <c r="I142" s="300"/>
      <c r="J142" s="300"/>
      <c r="K142" s="300"/>
      <c r="L142" s="300"/>
      <c r="M142" s="300"/>
      <c r="N142" s="300"/>
      <c r="O142" s="300"/>
      <c r="P142" s="300"/>
      <c r="Q142" s="300"/>
      <c r="R142" s="300"/>
      <c r="S142" s="300"/>
      <c r="T142" s="300"/>
      <c r="U142" s="300"/>
      <c r="V142" s="300"/>
      <c r="W142" s="300"/>
      <c r="X142" s="300"/>
      <c r="Y142" s="300"/>
      <c r="Z142" s="300"/>
      <c r="AA142" s="300"/>
      <c r="AB142" s="300"/>
      <c r="AC142" s="300"/>
      <c r="AD142" s="300"/>
      <c r="AE142" s="300"/>
      <c r="AF142" s="300"/>
      <c r="AG142" s="300"/>
      <c r="AH142" s="300"/>
    </row>
    <row r="143" spans="8:34" x14ac:dyDescent="0.25">
      <c r="H143" s="300"/>
      <c r="I143" s="300"/>
      <c r="J143" s="300"/>
      <c r="K143" s="300"/>
      <c r="L143" s="300"/>
      <c r="M143" s="300"/>
      <c r="N143" s="300"/>
      <c r="O143" s="300"/>
      <c r="P143" s="300"/>
      <c r="Q143" s="300"/>
      <c r="R143" s="300"/>
      <c r="S143" s="300"/>
      <c r="T143" s="300"/>
      <c r="U143" s="300"/>
      <c r="V143" s="300"/>
      <c r="W143" s="300"/>
      <c r="X143" s="300"/>
      <c r="Y143" s="300"/>
      <c r="Z143" s="300"/>
      <c r="AA143" s="300"/>
      <c r="AB143" s="300"/>
      <c r="AC143" s="300"/>
      <c r="AD143" s="300"/>
      <c r="AE143" s="300"/>
      <c r="AF143" s="300"/>
      <c r="AG143" s="300"/>
      <c r="AH143" s="300"/>
    </row>
    <row r="144" spans="8:34" x14ac:dyDescent="0.25">
      <c r="H144" s="300"/>
      <c r="I144" s="300"/>
      <c r="J144" s="300"/>
      <c r="K144" s="300"/>
      <c r="L144" s="300"/>
      <c r="M144" s="300"/>
      <c r="N144" s="300"/>
      <c r="O144" s="300"/>
      <c r="P144" s="300"/>
      <c r="Q144" s="300"/>
      <c r="R144" s="300"/>
      <c r="S144" s="300"/>
      <c r="T144" s="300"/>
      <c r="U144" s="300"/>
      <c r="V144" s="300"/>
      <c r="W144" s="300"/>
      <c r="X144" s="300"/>
      <c r="Y144" s="300"/>
      <c r="Z144" s="300"/>
      <c r="AA144" s="300"/>
      <c r="AB144" s="300"/>
      <c r="AC144" s="300"/>
      <c r="AD144" s="300"/>
      <c r="AE144" s="300"/>
      <c r="AF144" s="300"/>
      <c r="AG144" s="300"/>
      <c r="AH144" s="300"/>
    </row>
    <row r="145" spans="8:34" x14ac:dyDescent="0.25">
      <c r="H145" s="300"/>
      <c r="I145" s="300"/>
      <c r="J145" s="300"/>
      <c r="K145" s="300"/>
      <c r="L145" s="300"/>
      <c r="M145" s="300"/>
      <c r="N145" s="300"/>
      <c r="O145" s="300"/>
      <c r="P145" s="300"/>
      <c r="Q145" s="300"/>
      <c r="R145" s="300"/>
      <c r="S145" s="300"/>
      <c r="T145" s="300"/>
      <c r="U145" s="300"/>
      <c r="V145" s="300"/>
      <c r="W145" s="300"/>
      <c r="X145" s="300"/>
      <c r="Y145" s="300"/>
      <c r="Z145" s="300"/>
      <c r="AA145" s="300"/>
      <c r="AB145" s="300"/>
      <c r="AC145" s="300"/>
      <c r="AD145" s="300"/>
      <c r="AE145" s="300"/>
      <c r="AF145" s="300"/>
      <c r="AG145" s="300"/>
      <c r="AH145" s="300"/>
    </row>
    <row r="146" spans="8:34" x14ac:dyDescent="0.25">
      <c r="H146" s="300"/>
      <c r="I146" s="300"/>
      <c r="J146" s="300"/>
      <c r="K146" s="300"/>
      <c r="L146" s="300"/>
      <c r="M146" s="300"/>
      <c r="N146" s="300"/>
      <c r="O146" s="300"/>
      <c r="P146" s="300"/>
      <c r="Q146" s="300"/>
      <c r="R146" s="300"/>
      <c r="S146" s="300"/>
      <c r="T146" s="300"/>
      <c r="U146" s="300"/>
      <c r="V146" s="300"/>
      <c r="W146" s="300"/>
      <c r="X146" s="300"/>
      <c r="Y146" s="300"/>
      <c r="Z146" s="300"/>
      <c r="AA146" s="300"/>
      <c r="AB146" s="300"/>
      <c r="AC146" s="300"/>
      <c r="AD146" s="300"/>
      <c r="AE146" s="300"/>
      <c r="AF146" s="300"/>
      <c r="AG146" s="300"/>
      <c r="AH146" s="300"/>
    </row>
    <row r="147" spans="8:34" x14ac:dyDescent="0.25">
      <c r="H147" s="300"/>
      <c r="I147" s="300"/>
      <c r="J147" s="300"/>
      <c r="K147" s="300"/>
      <c r="L147" s="300"/>
      <c r="M147" s="300"/>
      <c r="N147" s="300"/>
      <c r="O147" s="300"/>
      <c r="P147" s="300"/>
      <c r="Q147" s="300"/>
      <c r="R147" s="300"/>
      <c r="S147" s="300"/>
      <c r="T147" s="300"/>
      <c r="U147" s="300"/>
      <c r="V147" s="300"/>
      <c r="W147" s="300"/>
      <c r="X147" s="300"/>
      <c r="Y147" s="300"/>
      <c r="Z147" s="300"/>
      <c r="AA147" s="300"/>
      <c r="AB147" s="300"/>
      <c r="AC147" s="300"/>
      <c r="AD147" s="300"/>
      <c r="AE147" s="300"/>
      <c r="AF147" s="300"/>
      <c r="AG147" s="300"/>
      <c r="AH147" s="300"/>
    </row>
    <row r="148" spans="8:34" x14ac:dyDescent="0.25">
      <c r="H148" s="300"/>
      <c r="I148" s="300"/>
      <c r="J148" s="300"/>
      <c r="K148" s="300"/>
      <c r="L148" s="300"/>
      <c r="M148" s="300"/>
      <c r="N148" s="300"/>
      <c r="O148" s="300"/>
      <c r="P148" s="300"/>
      <c r="Q148" s="300"/>
      <c r="R148" s="300"/>
      <c r="S148" s="300"/>
      <c r="T148" s="300"/>
      <c r="U148" s="300"/>
      <c r="V148" s="300"/>
      <c r="W148" s="300"/>
      <c r="X148" s="300"/>
      <c r="Y148" s="300"/>
      <c r="Z148" s="300"/>
      <c r="AA148" s="300"/>
      <c r="AB148" s="300"/>
      <c r="AC148" s="300"/>
      <c r="AD148" s="300"/>
      <c r="AE148" s="300"/>
      <c r="AF148" s="300"/>
      <c r="AG148" s="300"/>
      <c r="AH148" s="300"/>
    </row>
    <row r="149" spans="8:34" x14ac:dyDescent="0.25">
      <c r="H149" s="300"/>
      <c r="I149" s="300"/>
      <c r="J149" s="300"/>
      <c r="K149" s="300"/>
      <c r="L149" s="300"/>
      <c r="M149" s="300"/>
      <c r="N149" s="300"/>
      <c r="O149" s="300"/>
      <c r="P149" s="300"/>
      <c r="Q149" s="300"/>
      <c r="R149" s="300"/>
      <c r="S149" s="300"/>
      <c r="T149" s="300"/>
      <c r="U149" s="300"/>
      <c r="V149" s="300"/>
      <c r="W149" s="300"/>
      <c r="X149" s="300"/>
      <c r="Y149" s="300"/>
      <c r="Z149" s="300"/>
      <c r="AA149" s="300"/>
      <c r="AB149" s="300"/>
      <c r="AC149" s="300"/>
      <c r="AD149" s="300"/>
      <c r="AE149" s="300"/>
      <c r="AF149" s="300"/>
      <c r="AG149" s="300"/>
      <c r="AH149" s="300"/>
    </row>
    <row r="150" spans="8:34" x14ac:dyDescent="0.25">
      <c r="H150" s="300"/>
      <c r="I150" s="300"/>
      <c r="J150" s="300"/>
      <c r="K150" s="300"/>
      <c r="L150" s="300"/>
      <c r="M150" s="300"/>
      <c r="N150" s="300"/>
      <c r="O150" s="300"/>
      <c r="P150" s="300"/>
      <c r="Q150" s="300"/>
      <c r="R150" s="300"/>
      <c r="S150" s="300"/>
      <c r="T150" s="300"/>
      <c r="U150" s="300"/>
      <c r="V150" s="300"/>
      <c r="W150" s="300"/>
      <c r="X150" s="300"/>
      <c r="Y150" s="300"/>
      <c r="Z150" s="300"/>
      <c r="AA150" s="300"/>
      <c r="AB150" s="300"/>
      <c r="AC150" s="300"/>
      <c r="AD150" s="300"/>
      <c r="AE150" s="300"/>
      <c r="AF150" s="300"/>
      <c r="AG150" s="300"/>
      <c r="AH150" s="300"/>
    </row>
    <row r="151" spans="8:34" x14ac:dyDescent="0.25">
      <c r="H151" s="300"/>
      <c r="I151" s="300"/>
      <c r="J151" s="300"/>
      <c r="K151" s="300"/>
      <c r="L151" s="300"/>
      <c r="M151" s="300"/>
      <c r="N151" s="300"/>
      <c r="O151" s="300"/>
      <c r="P151" s="300"/>
      <c r="Q151" s="300"/>
      <c r="R151" s="300"/>
      <c r="S151" s="300"/>
      <c r="T151" s="300"/>
      <c r="U151" s="300"/>
      <c r="V151" s="300"/>
      <c r="W151" s="300"/>
      <c r="X151" s="300"/>
      <c r="Y151" s="300"/>
      <c r="Z151" s="300"/>
      <c r="AA151" s="300"/>
      <c r="AB151" s="300"/>
      <c r="AC151" s="300"/>
      <c r="AD151" s="300"/>
      <c r="AE151" s="300"/>
      <c r="AF151" s="300"/>
      <c r="AG151" s="300"/>
      <c r="AH151" s="300"/>
    </row>
    <row r="152" spans="8:34" x14ac:dyDescent="0.25">
      <c r="H152" s="300"/>
      <c r="I152" s="300"/>
      <c r="J152" s="300"/>
      <c r="K152" s="300"/>
      <c r="L152" s="300"/>
      <c r="M152" s="300"/>
      <c r="N152" s="300"/>
      <c r="O152" s="300"/>
      <c r="P152" s="300"/>
      <c r="Q152" s="300"/>
      <c r="R152" s="300"/>
      <c r="S152" s="300"/>
      <c r="T152" s="300"/>
      <c r="U152" s="300"/>
      <c r="V152" s="300"/>
      <c r="W152" s="300"/>
      <c r="X152" s="300"/>
      <c r="Y152" s="300"/>
      <c r="Z152" s="300"/>
      <c r="AA152" s="300"/>
      <c r="AB152" s="300"/>
      <c r="AC152" s="300"/>
      <c r="AD152" s="300"/>
      <c r="AE152" s="300"/>
      <c r="AF152" s="300"/>
      <c r="AG152" s="300"/>
      <c r="AH152" s="300"/>
    </row>
    <row r="153" spans="8:34" x14ac:dyDescent="0.25">
      <c r="H153" s="300"/>
      <c r="I153" s="300"/>
      <c r="J153" s="300"/>
      <c r="K153" s="300"/>
      <c r="L153" s="300"/>
      <c r="M153" s="300"/>
      <c r="N153" s="300"/>
      <c r="O153" s="300"/>
      <c r="P153" s="300"/>
      <c r="Q153" s="300"/>
      <c r="R153" s="300"/>
      <c r="S153" s="300"/>
      <c r="T153" s="300"/>
      <c r="U153" s="300"/>
      <c r="V153" s="300"/>
      <c r="W153" s="300"/>
      <c r="X153" s="300"/>
      <c r="Y153" s="300"/>
      <c r="Z153" s="300"/>
      <c r="AA153" s="300"/>
      <c r="AB153" s="300"/>
      <c r="AC153" s="300"/>
      <c r="AD153" s="300"/>
      <c r="AE153" s="300"/>
      <c r="AF153" s="300"/>
      <c r="AG153" s="300"/>
      <c r="AH153" s="300"/>
    </row>
    <row r="154" spans="8:34" x14ac:dyDescent="0.25">
      <c r="H154" s="300"/>
      <c r="I154" s="300"/>
      <c r="J154" s="300"/>
      <c r="K154" s="300"/>
      <c r="L154" s="300"/>
      <c r="M154" s="300"/>
      <c r="N154" s="300"/>
      <c r="O154" s="300"/>
      <c r="P154" s="300"/>
      <c r="Q154" s="300"/>
      <c r="R154" s="300"/>
      <c r="S154" s="300"/>
      <c r="T154" s="300"/>
      <c r="U154" s="300"/>
      <c r="V154" s="300"/>
      <c r="W154" s="300"/>
      <c r="X154" s="300"/>
      <c r="Y154" s="300"/>
      <c r="Z154" s="300"/>
      <c r="AA154" s="300"/>
      <c r="AB154" s="300"/>
      <c r="AC154" s="300"/>
      <c r="AD154" s="300"/>
      <c r="AE154" s="300"/>
      <c r="AF154" s="300"/>
      <c r="AG154" s="300"/>
      <c r="AH154" s="300"/>
    </row>
    <row r="155" spans="8:34" x14ac:dyDescent="0.25">
      <c r="H155" s="300"/>
      <c r="I155" s="300"/>
      <c r="J155" s="300"/>
      <c r="K155" s="300"/>
      <c r="L155" s="300"/>
      <c r="M155" s="300"/>
      <c r="N155" s="300"/>
      <c r="O155" s="300"/>
      <c r="P155" s="300"/>
      <c r="Q155" s="300"/>
      <c r="R155" s="300"/>
      <c r="S155" s="300"/>
      <c r="T155" s="300"/>
      <c r="U155" s="300"/>
      <c r="V155" s="300"/>
      <c r="W155" s="300"/>
      <c r="X155" s="300"/>
      <c r="Y155" s="300"/>
      <c r="Z155" s="300"/>
      <c r="AA155" s="300"/>
      <c r="AB155" s="300"/>
      <c r="AC155" s="300"/>
      <c r="AD155" s="300"/>
      <c r="AE155" s="300"/>
      <c r="AF155" s="300"/>
      <c r="AG155" s="300"/>
      <c r="AH155" s="300"/>
    </row>
    <row r="156" spans="8:34" x14ac:dyDescent="0.25">
      <c r="H156" s="300"/>
      <c r="I156" s="300"/>
      <c r="J156" s="300"/>
      <c r="K156" s="300"/>
      <c r="L156" s="300"/>
      <c r="M156" s="300"/>
      <c r="N156" s="300"/>
      <c r="O156" s="300"/>
      <c r="P156" s="300"/>
      <c r="Q156" s="300"/>
      <c r="R156" s="300"/>
      <c r="S156" s="300"/>
      <c r="T156" s="300"/>
      <c r="U156" s="300"/>
      <c r="V156" s="300"/>
      <c r="W156" s="300"/>
      <c r="X156" s="300"/>
      <c r="Y156" s="300"/>
      <c r="Z156" s="300"/>
      <c r="AA156" s="300"/>
      <c r="AB156" s="300"/>
      <c r="AC156" s="300"/>
      <c r="AD156" s="300"/>
      <c r="AE156" s="300"/>
      <c r="AF156" s="300"/>
      <c r="AG156" s="300"/>
      <c r="AH156" s="300"/>
    </row>
    <row r="157" spans="8:34" x14ac:dyDescent="0.25">
      <c r="H157" s="300"/>
      <c r="I157" s="300"/>
      <c r="J157" s="300"/>
      <c r="K157" s="300"/>
      <c r="L157" s="300"/>
      <c r="M157" s="300"/>
      <c r="N157" s="300"/>
      <c r="O157" s="300"/>
      <c r="P157" s="300"/>
      <c r="Q157" s="300"/>
      <c r="R157" s="300"/>
      <c r="S157" s="300"/>
      <c r="T157" s="300"/>
      <c r="U157" s="300"/>
      <c r="V157" s="300"/>
      <c r="W157" s="300"/>
      <c r="X157" s="300"/>
      <c r="Y157" s="300"/>
      <c r="Z157" s="300"/>
      <c r="AA157" s="300"/>
      <c r="AB157" s="300"/>
      <c r="AC157" s="300"/>
      <c r="AD157" s="300"/>
      <c r="AE157" s="300"/>
      <c r="AF157" s="300"/>
      <c r="AG157" s="300"/>
      <c r="AH157" s="300"/>
    </row>
    <row r="158" spans="8:34" x14ac:dyDescent="0.25">
      <c r="H158" s="300"/>
      <c r="I158" s="300"/>
      <c r="J158" s="300"/>
      <c r="K158" s="300"/>
      <c r="L158" s="300"/>
      <c r="M158" s="300"/>
      <c r="N158" s="300"/>
      <c r="O158" s="300"/>
      <c r="P158" s="300"/>
      <c r="Q158" s="300"/>
      <c r="R158" s="300"/>
      <c r="S158" s="300"/>
      <c r="T158" s="300"/>
      <c r="U158" s="300"/>
      <c r="V158" s="300"/>
      <c r="W158" s="300"/>
      <c r="X158" s="300"/>
      <c r="Y158" s="300"/>
      <c r="Z158" s="300"/>
      <c r="AA158" s="300"/>
      <c r="AB158" s="300"/>
      <c r="AC158" s="300"/>
      <c r="AD158" s="300"/>
      <c r="AE158" s="300"/>
      <c r="AF158" s="300"/>
      <c r="AG158" s="300"/>
      <c r="AH158" s="300"/>
    </row>
    <row r="159" spans="8:34" x14ac:dyDescent="0.25">
      <c r="H159" s="300"/>
      <c r="I159" s="300"/>
      <c r="J159" s="300"/>
      <c r="K159" s="300"/>
      <c r="L159" s="300"/>
      <c r="M159" s="300"/>
      <c r="N159" s="300"/>
      <c r="O159" s="300"/>
      <c r="P159" s="300"/>
      <c r="Q159" s="300"/>
      <c r="R159" s="300"/>
      <c r="S159" s="300"/>
      <c r="T159" s="300"/>
      <c r="U159" s="300"/>
      <c r="V159" s="300"/>
      <c r="W159" s="300"/>
      <c r="X159" s="300"/>
      <c r="Y159" s="300"/>
      <c r="Z159" s="300"/>
      <c r="AA159" s="300"/>
      <c r="AB159" s="300"/>
      <c r="AC159" s="300"/>
      <c r="AD159" s="300"/>
      <c r="AE159" s="300"/>
      <c r="AF159" s="300"/>
      <c r="AG159" s="300"/>
      <c r="AH159" s="300"/>
    </row>
    <row r="160" spans="8:34" x14ac:dyDescent="0.25">
      <c r="H160" s="300"/>
      <c r="I160" s="300"/>
      <c r="J160" s="300"/>
      <c r="K160" s="300"/>
      <c r="L160" s="300"/>
      <c r="M160" s="300"/>
      <c r="N160" s="300"/>
      <c r="O160" s="300"/>
      <c r="P160" s="300"/>
      <c r="Q160" s="300"/>
      <c r="R160" s="300"/>
      <c r="S160" s="300"/>
      <c r="T160" s="300"/>
      <c r="U160" s="300"/>
      <c r="V160" s="300"/>
      <c r="W160" s="300"/>
      <c r="X160" s="300"/>
      <c r="Y160" s="300"/>
      <c r="Z160" s="300"/>
      <c r="AA160" s="300"/>
      <c r="AB160" s="300"/>
      <c r="AC160" s="300"/>
      <c r="AD160" s="300"/>
      <c r="AE160" s="300"/>
      <c r="AF160" s="300"/>
      <c r="AG160" s="300"/>
      <c r="AH160" s="300"/>
    </row>
    <row r="161" spans="8:34" x14ac:dyDescent="0.25">
      <c r="H161" s="300"/>
      <c r="I161" s="300"/>
      <c r="J161" s="300"/>
      <c r="K161" s="300"/>
      <c r="L161" s="300"/>
      <c r="M161" s="300"/>
      <c r="N161" s="300"/>
      <c r="O161" s="300"/>
      <c r="P161" s="300"/>
      <c r="Q161" s="300"/>
      <c r="R161" s="300"/>
      <c r="S161" s="300"/>
      <c r="T161" s="300"/>
      <c r="U161" s="300"/>
      <c r="V161" s="300"/>
      <c r="W161" s="300"/>
      <c r="X161" s="300"/>
      <c r="Y161" s="300"/>
      <c r="Z161" s="300"/>
      <c r="AA161" s="300"/>
      <c r="AB161" s="300"/>
      <c r="AC161" s="300"/>
      <c r="AD161" s="300"/>
      <c r="AE161" s="300"/>
      <c r="AF161" s="300"/>
      <c r="AG161" s="300"/>
      <c r="AH161" s="300"/>
    </row>
    <row r="162" spans="8:34" x14ac:dyDescent="0.25">
      <c r="H162" s="300"/>
      <c r="I162" s="300"/>
      <c r="J162" s="300"/>
      <c r="K162" s="300"/>
      <c r="L162" s="300"/>
      <c r="M162" s="300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0"/>
      <c r="Z162" s="300"/>
      <c r="AA162" s="300"/>
      <c r="AB162" s="300"/>
      <c r="AC162" s="300"/>
      <c r="AD162" s="300"/>
      <c r="AE162" s="300"/>
      <c r="AF162" s="300"/>
      <c r="AG162" s="300"/>
      <c r="AH162" s="300"/>
    </row>
    <row r="163" spans="8:34" x14ac:dyDescent="0.25">
      <c r="H163" s="300"/>
      <c r="I163" s="300"/>
      <c r="J163" s="300"/>
      <c r="K163" s="300"/>
      <c r="L163" s="300"/>
      <c r="M163" s="300"/>
      <c r="N163" s="300"/>
      <c r="O163" s="300"/>
      <c r="P163" s="300"/>
      <c r="Q163" s="300"/>
      <c r="R163" s="300"/>
      <c r="S163" s="300"/>
      <c r="T163" s="300"/>
      <c r="U163" s="300"/>
      <c r="V163" s="300"/>
      <c r="W163" s="300"/>
      <c r="X163" s="300"/>
      <c r="Y163" s="300"/>
      <c r="Z163" s="300"/>
      <c r="AA163" s="300"/>
      <c r="AB163" s="300"/>
      <c r="AC163" s="300"/>
      <c r="AD163" s="300"/>
      <c r="AE163" s="300"/>
      <c r="AF163" s="300"/>
      <c r="AG163" s="300"/>
      <c r="AH163" s="300"/>
    </row>
    <row r="164" spans="8:34" x14ac:dyDescent="0.25">
      <c r="H164" s="300"/>
      <c r="I164" s="300"/>
      <c r="J164" s="300"/>
      <c r="K164" s="300"/>
      <c r="L164" s="300"/>
      <c r="M164" s="300"/>
      <c r="N164" s="300"/>
      <c r="O164" s="300"/>
      <c r="P164" s="300"/>
      <c r="Q164" s="300"/>
      <c r="R164" s="300"/>
      <c r="S164" s="300"/>
      <c r="T164" s="300"/>
      <c r="U164" s="300"/>
      <c r="V164" s="300"/>
      <c r="W164" s="300"/>
      <c r="X164" s="300"/>
      <c r="Y164" s="300"/>
      <c r="Z164" s="300"/>
      <c r="AA164" s="300"/>
      <c r="AB164" s="300"/>
      <c r="AC164" s="300"/>
      <c r="AD164" s="300"/>
      <c r="AE164" s="300"/>
      <c r="AF164" s="300"/>
      <c r="AG164" s="300"/>
      <c r="AH164" s="300"/>
    </row>
    <row r="165" spans="8:34" x14ac:dyDescent="0.25">
      <c r="H165" s="300"/>
      <c r="I165" s="300"/>
      <c r="J165" s="300"/>
      <c r="K165" s="300"/>
      <c r="L165" s="300"/>
      <c r="M165" s="300"/>
      <c r="N165" s="300"/>
      <c r="O165" s="300"/>
      <c r="P165" s="300"/>
      <c r="Q165" s="300"/>
      <c r="R165" s="300"/>
      <c r="S165" s="300"/>
      <c r="T165" s="300"/>
      <c r="U165" s="300"/>
      <c r="V165" s="300"/>
      <c r="W165" s="300"/>
      <c r="X165" s="300"/>
      <c r="Y165" s="300"/>
      <c r="Z165" s="300"/>
      <c r="AA165" s="300"/>
      <c r="AB165" s="300"/>
      <c r="AC165" s="300"/>
      <c r="AD165" s="300"/>
      <c r="AE165" s="300"/>
      <c r="AF165" s="300"/>
      <c r="AG165" s="300"/>
      <c r="AH165" s="300"/>
    </row>
    <row r="166" spans="8:34" x14ac:dyDescent="0.25">
      <c r="H166" s="300"/>
      <c r="I166" s="300"/>
      <c r="J166" s="300"/>
      <c r="K166" s="300"/>
      <c r="L166" s="300"/>
      <c r="M166" s="300"/>
      <c r="N166" s="300"/>
      <c r="O166" s="300"/>
      <c r="P166" s="300"/>
      <c r="Q166" s="300"/>
      <c r="R166" s="300"/>
      <c r="S166" s="300"/>
      <c r="T166" s="300"/>
      <c r="U166" s="300"/>
      <c r="V166" s="300"/>
      <c r="W166" s="300"/>
      <c r="X166" s="300"/>
      <c r="Y166" s="300"/>
      <c r="Z166" s="300"/>
      <c r="AA166" s="300"/>
      <c r="AB166" s="300"/>
      <c r="AC166" s="300"/>
      <c r="AD166" s="300"/>
      <c r="AE166" s="300"/>
      <c r="AF166" s="300"/>
      <c r="AG166" s="300"/>
      <c r="AH166" s="300"/>
    </row>
    <row r="167" spans="8:34" x14ac:dyDescent="0.25">
      <c r="H167" s="300"/>
      <c r="I167" s="300"/>
      <c r="J167" s="300"/>
      <c r="K167" s="300"/>
      <c r="L167" s="300"/>
      <c r="M167" s="300"/>
      <c r="N167" s="300"/>
      <c r="O167" s="300"/>
      <c r="P167" s="300"/>
      <c r="Q167" s="300"/>
      <c r="R167" s="300"/>
      <c r="S167" s="300"/>
      <c r="T167" s="300"/>
      <c r="U167" s="300"/>
      <c r="V167" s="300"/>
      <c r="W167" s="300"/>
      <c r="X167" s="300"/>
      <c r="Y167" s="300"/>
      <c r="Z167" s="300"/>
      <c r="AA167" s="300"/>
      <c r="AB167" s="300"/>
      <c r="AC167" s="300"/>
      <c r="AD167" s="300"/>
      <c r="AE167" s="300"/>
      <c r="AF167" s="300"/>
      <c r="AG167" s="300"/>
      <c r="AH167" s="300"/>
    </row>
    <row r="168" spans="8:34" x14ac:dyDescent="0.25">
      <c r="H168" s="300"/>
      <c r="I168" s="300"/>
      <c r="J168" s="300"/>
      <c r="K168" s="300"/>
      <c r="L168" s="300"/>
      <c r="M168" s="300"/>
      <c r="N168" s="300"/>
      <c r="O168" s="300"/>
      <c r="P168" s="300"/>
      <c r="Q168" s="300"/>
      <c r="R168" s="300"/>
      <c r="S168" s="300"/>
      <c r="T168" s="300"/>
      <c r="U168" s="300"/>
      <c r="V168" s="300"/>
      <c r="W168" s="300"/>
      <c r="X168" s="300"/>
      <c r="Y168" s="300"/>
      <c r="Z168" s="300"/>
      <c r="AA168" s="300"/>
      <c r="AB168" s="300"/>
      <c r="AC168" s="300"/>
      <c r="AD168" s="300"/>
      <c r="AE168" s="300"/>
      <c r="AF168" s="300"/>
      <c r="AG168" s="300"/>
      <c r="AH168" s="300"/>
    </row>
    <row r="169" spans="8:34" x14ac:dyDescent="0.25">
      <c r="H169" s="300"/>
      <c r="I169" s="300"/>
      <c r="J169" s="300"/>
      <c r="K169" s="300"/>
      <c r="L169" s="300"/>
      <c r="M169" s="300"/>
      <c r="N169" s="300"/>
      <c r="O169" s="300"/>
      <c r="P169" s="300"/>
      <c r="Q169" s="300"/>
      <c r="R169" s="300"/>
      <c r="S169" s="300"/>
      <c r="T169" s="300"/>
      <c r="U169" s="300"/>
      <c r="V169" s="300"/>
      <c r="W169" s="300"/>
      <c r="X169" s="300"/>
      <c r="Y169" s="300"/>
      <c r="Z169" s="300"/>
      <c r="AA169" s="300"/>
      <c r="AB169" s="300"/>
      <c r="AC169" s="300"/>
      <c r="AD169" s="300"/>
      <c r="AE169" s="300"/>
      <c r="AF169" s="300"/>
      <c r="AG169" s="300"/>
      <c r="AH169" s="300"/>
    </row>
    <row r="170" spans="8:34" x14ac:dyDescent="0.25">
      <c r="H170" s="300"/>
      <c r="I170" s="300"/>
      <c r="J170" s="300"/>
      <c r="K170" s="300"/>
      <c r="L170" s="300"/>
      <c r="M170" s="300"/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  <c r="X170" s="300"/>
      <c r="Y170" s="300"/>
      <c r="Z170" s="300"/>
      <c r="AA170" s="300"/>
      <c r="AB170" s="300"/>
      <c r="AC170" s="300"/>
      <c r="AD170" s="300"/>
      <c r="AE170" s="300"/>
      <c r="AF170" s="300"/>
      <c r="AG170" s="300"/>
      <c r="AH170" s="300"/>
    </row>
    <row r="171" spans="8:34" x14ac:dyDescent="0.25">
      <c r="H171" s="300"/>
      <c r="I171" s="300"/>
      <c r="J171" s="300"/>
      <c r="K171" s="300"/>
      <c r="L171" s="300"/>
      <c r="M171" s="300"/>
      <c r="N171" s="300"/>
      <c r="O171" s="300"/>
      <c r="P171" s="300"/>
      <c r="Q171" s="300"/>
      <c r="R171" s="300"/>
      <c r="S171" s="300"/>
      <c r="T171" s="300"/>
      <c r="U171" s="300"/>
      <c r="V171" s="300"/>
      <c r="W171" s="300"/>
      <c r="X171" s="300"/>
      <c r="Y171" s="300"/>
      <c r="Z171" s="300"/>
      <c r="AA171" s="300"/>
      <c r="AB171" s="300"/>
      <c r="AC171" s="300"/>
      <c r="AD171" s="300"/>
      <c r="AE171" s="300"/>
      <c r="AF171" s="300"/>
      <c r="AG171" s="300"/>
      <c r="AH171" s="300"/>
    </row>
    <row r="172" spans="8:34" x14ac:dyDescent="0.25">
      <c r="H172" s="300"/>
      <c r="I172" s="300"/>
      <c r="J172" s="300"/>
      <c r="K172" s="300"/>
      <c r="L172" s="300"/>
      <c r="M172" s="300"/>
      <c r="N172" s="300"/>
      <c r="O172" s="300"/>
      <c r="P172" s="300"/>
      <c r="Q172" s="300"/>
      <c r="R172" s="300"/>
      <c r="S172" s="300"/>
      <c r="T172" s="300"/>
      <c r="U172" s="300"/>
      <c r="V172" s="300"/>
      <c r="W172" s="300"/>
      <c r="X172" s="300"/>
      <c r="Y172" s="300"/>
      <c r="Z172" s="300"/>
      <c r="AA172" s="300"/>
      <c r="AB172" s="300"/>
      <c r="AC172" s="300"/>
      <c r="AD172" s="300"/>
      <c r="AE172" s="300"/>
      <c r="AF172" s="300"/>
      <c r="AG172" s="300"/>
      <c r="AH172" s="300"/>
    </row>
    <row r="173" spans="8:34" x14ac:dyDescent="0.25">
      <c r="H173" s="300"/>
      <c r="I173" s="300"/>
      <c r="J173" s="300"/>
      <c r="K173" s="300"/>
      <c r="L173" s="300"/>
      <c r="M173" s="300"/>
      <c r="N173" s="300"/>
      <c r="O173" s="300"/>
      <c r="P173" s="300"/>
      <c r="Q173" s="300"/>
      <c r="R173" s="300"/>
      <c r="S173" s="300"/>
      <c r="T173" s="300"/>
      <c r="U173" s="300"/>
      <c r="V173" s="300"/>
      <c r="W173" s="300"/>
      <c r="X173" s="300"/>
      <c r="Y173" s="300"/>
      <c r="Z173" s="300"/>
      <c r="AA173" s="300"/>
      <c r="AB173" s="300"/>
      <c r="AC173" s="300"/>
      <c r="AD173" s="300"/>
      <c r="AE173" s="300"/>
      <c r="AF173" s="300"/>
      <c r="AG173" s="300"/>
      <c r="AH173" s="300"/>
    </row>
    <row r="174" spans="8:34" x14ac:dyDescent="0.25">
      <c r="H174" s="300"/>
      <c r="I174" s="300"/>
      <c r="J174" s="300"/>
      <c r="K174" s="300"/>
      <c r="L174" s="300"/>
      <c r="M174" s="300"/>
      <c r="N174" s="300"/>
      <c r="O174" s="300"/>
      <c r="P174" s="300"/>
      <c r="Q174" s="300"/>
      <c r="R174" s="300"/>
      <c r="S174" s="300"/>
      <c r="T174" s="300"/>
      <c r="U174" s="300"/>
      <c r="V174" s="300"/>
      <c r="W174" s="300"/>
      <c r="X174" s="300"/>
      <c r="Y174" s="300"/>
      <c r="Z174" s="300"/>
      <c r="AA174" s="300"/>
      <c r="AB174" s="300"/>
      <c r="AC174" s="300"/>
      <c r="AD174" s="300"/>
      <c r="AE174" s="300"/>
      <c r="AF174" s="300"/>
      <c r="AG174" s="300"/>
      <c r="AH174" s="300"/>
    </row>
    <row r="175" spans="8:34" x14ac:dyDescent="0.25">
      <c r="H175" s="300"/>
      <c r="I175" s="300"/>
      <c r="J175" s="300"/>
      <c r="K175" s="300"/>
      <c r="L175" s="300"/>
      <c r="M175" s="300"/>
      <c r="N175" s="300"/>
      <c r="O175" s="300"/>
      <c r="P175" s="300"/>
      <c r="Q175" s="300"/>
      <c r="R175" s="300"/>
      <c r="S175" s="300"/>
      <c r="T175" s="300"/>
      <c r="U175" s="300"/>
      <c r="V175" s="300"/>
      <c r="W175" s="300"/>
      <c r="X175" s="300"/>
      <c r="Y175" s="300"/>
      <c r="Z175" s="300"/>
      <c r="AA175" s="300"/>
      <c r="AB175" s="300"/>
      <c r="AC175" s="300"/>
      <c r="AD175" s="300"/>
      <c r="AE175" s="300"/>
      <c r="AF175" s="300"/>
      <c r="AG175" s="300"/>
      <c r="AH175" s="300"/>
    </row>
    <row r="176" spans="8:34" x14ac:dyDescent="0.25">
      <c r="H176" s="300"/>
      <c r="I176" s="300"/>
      <c r="J176" s="300"/>
      <c r="K176" s="300"/>
      <c r="L176" s="300"/>
      <c r="M176" s="300"/>
      <c r="N176" s="300"/>
      <c r="O176" s="300"/>
      <c r="P176" s="300"/>
      <c r="Q176" s="300"/>
      <c r="R176" s="300"/>
      <c r="S176" s="300"/>
      <c r="T176" s="300"/>
      <c r="U176" s="300"/>
      <c r="V176" s="300"/>
      <c r="W176" s="300"/>
      <c r="X176" s="300"/>
      <c r="Y176" s="300"/>
      <c r="Z176" s="300"/>
      <c r="AA176" s="300"/>
      <c r="AB176" s="300"/>
      <c r="AC176" s="300"/>
      <c r="AD176" s="300"/>
      <c r="AE176" s="300"/>
      <c r="AF176" s="300"/>
      <c r="AG176" s="300"/>
      <c r="AH176" s="300"/>
    </row>
    <row r="177" spans="8:34" x14ac:dyDescent="0.25">
      <c r="H177" s="300"/>
      <c r="I177" s="300"/>
      <c r="J177" s="300"/>
      <c r="K177" s="300"/>
      <c r="L177" s="300"/>
      <c r="M177" s="300"/>
      <c r="N177" s="300"/>
      <c r="O177" s="300"/>
      <c r="P177" s="300"/>
      <c r="Q177" s="300"/>
      <c r="R177" s="300"/>
      <c r="S177" s="300"/>
      <c r="T177" s="300"/>
      <c r="U177" s="300"/>
      <c r="V177" s="300"/>
      <c r="W177" s="300"/>
      <c r="X177" s="300"/>
      <c r="Y177" s="300"/>
      <c r="Z177" s="300"/>
      <c r="AA177" s="300"/>
      <c r="AB177" s="300"/>
      <c r="AC177" s="300"/>
      <c r="AD177" s="300"/>
      <c r="AE177" s="300"/>
      <c r="AF177" s="300"/>
      <c r="AG177" s="300"/>
      <c r="AH177" s="300"/>
    </row>
    <row r="178" spans="8:34" x14ac:dyDescent="0.25">
      <c r="H178" s="300"/>
      <c r="I178" s="300"/>
      <c r="J178" s="300"/>
      <c r="K178" s="300"/>
      <c r="L178" s="300"/>
      <c r="M178" s="300"/>
      <c r="N178" s="300"/>
      <c r="O178" s="300"/>
      <c r="P178" s="300"/>
      <c r="Q178" s="300"/>
      <c r="R178" s="300"/>
      <c r="S178" s="300"/>
      <c r="T178" s="300"/>
      <c r="U178" s="300"/>
      <c r="V178" s="300"/>
      <c r="W178" s="300"/>
      <c r="X178" s="300"/>
      <c r="Y178" s="300"/>
      <c r="Z178" s="300"/>
      <c r="AA178" s="300"/>
      <c r="AB178" s="300"/>
      <c r="AC178" s="300"/>
      <c r="AD178" s="300"/>
      <c r="AE178" s="300"/>
      <c r="AF178" s="300"/>
      <c r="AG178" s="300"/>
      <c r="AH178" s="300"/>
    </row>
    <row r="179" spans="8:34" x14ac:dyDescent="0.25">
      <c r="H179" s="300"/>
      <c r="I179" s="300"/>
      <c r="J179" s="300"/>
      <c r="K179" s="300"/>
      <c r="L179" s="300"/>
      <c r="M179" s="300"/>
      <c r="N179" s="300"/>
      <c r="O179" s="300"/>
      <c r="P179" s="300"/>
      <c r="Q179" s="300"/>
      <c r="R179" s="300"/>
      <c r="S179" s="300"/>
      <c r="T179" s="300"/>
      <c r="U179" s="300"/>
      <c r="V179" s="300"/>
      <c r="W179" s="300"/>
      <c r="X179" s="300"/>
      <c r="Y179" s="300"/>
      <c r="Z179" s="300"/>
      <c r="AA179" s="300"/>
      <c r="AB179" s="300"/>
      <c r="AC179" s="300"/>
      <c r="AD179" s="300"/>
      <c r="AE179" s="300"/>
      <c r="AF179" s="300"/>
      <c r="AG179" s="300"/>
      <c r="AH179" s="300"/>
    </row>
    <row r="180" spans="8:34" x14ac:dyDescent="0.25">
      <c r="H180" s="300"/>
      <c r="I180" s="300"/>
      <c r="J180" s="300"/>
      <c r="K180" s="300"/>
      <c r="L180" s="300"/>
      <c r="M180" s="300"/>
      <c r="N180" s="300"/>
      <c r="O180" s="300"/>
      <c r="P180" s="300"/>
      <c r="Q180" s="300"/>
      <c r="R180" s="300"/>
      <c r="S180" s="300"/>
      <c r="T180" s="300"/>
      <c r="U180" s="300"/>
      <c r="V180" s="300"/>
      <c r="W180" s="300"/>
      <c r="X180" s="300"/>
      <c r="Y180" s="300"/>
      <c r="Z180" s="300"/>
      <c r="AA180" s="300"/>
      <c r="AB180" s="300"/>
      <c r="AC180" s="300"/>
      <c r="AD180" s="300"/>
      <c r="AE180" s="300"/>
      <c r="AF180" s="300"/>
      <c r="AG180" s="300"/>
      <c r="AH180" s="300"/>
    </row>
    <row r="181" spans="8:34" x14ac:dyDescent="0.25">
      <c r="H181" s="300"/>
      <c r="I181" s="300"/>
      <c r="J181" s="300"/>
      <c r="K181" s="300"/>
      <c r="L181" s="300"/>
      <c r="M181" s="300"/>
      <c r="N181" s="300"/>
      <c r="O181" s="300"/>
      <c r="P181" s="300"/>
      <c r="Q181" s="300"/>
      <c r="R181" s="300"/>
      <c r="S181" s="300"/>
      <c r="T181" s="300"/>
      <c r="U181" s="300"/>
      <c r="V181" s="300"/>
      <c r="W181" s="300"/>
      <c r="X181" s="300"/>
      <c r="Y181" s="300"/>
      <c r="Z181" s="300"/>
      <c r="AA181" s="300"/>
      <c r="AB181" s="300"/>
      <c r="AC181" s="300"/>
      <c r="AD181" s="300"/>
      <c r="AE181" s="300"/>
      <c r="AF181" s="300"/>
      <c r="AG181" s="300"/>
      <c r="AH181" s="300"/>
    </row>
    <row r="182" spans="8:34" x14ac:dyDescent="0.25">
      <c r="H182" s="300"/>
      <c r="I182" s="300"/>
      <c r="J182" s="300"/>
      <c r="K182" s="300"/>
      <c r="L182" s="300"/>
      <c r="M182" s="300"/>
      <c r="N182" s="300"/>
      <c r="O182" s="300"/>
      <c r="P182" s="300"/>
      <c r="Q182" s="300"/>
      <c r="R182" s="300"/>
      <c r="S182" s="300"/>
      <c r="T182" s="300"/>
      <c r="U182" s="300"/>
      <c r="V182" s="300"/>
      <c r="W182" s="300"/>
      <c r="X182" s="300"/>
      <c r="Y182" s="300"/>
      <c r="Z182" s="300"/>
      <c r="AA182" s="300"/>
      <c r="AB182" s="300"/>
      <c r="AC182" s="300"/>
      <c r="AD182" s="300"/>
      <c r="AE182" s="300"/>
      <c r="AF182" s="300"/>
      <c r="AG182" s="300"/>
      <c r="AH182" s="300"/>
    </row>
    <row r="183" spans="8:34" x14ac:dyDescent="0.25">
      <c r="H183" s="300"/>
      <c r="I183" s="300"/>
      <c r="J183" s="300"/>
      <c r="K183" s="300"/>
      <c r="L183" s="300"/>
      <c r="M183" s="300"/>
      <c r="N183" s="300"/>
      <c r="O183" s="300"/>
      <c r="P183" s="300"/>
      <c r="Q183" s="300"/>
      <c r="R183" s="300"/>
      <c r="S183" s="300"/>
      <c r="T183" s="300"/>
      <c r="U183" s="300"/>
      <c r="V183" s="300"/>
      <c r="W183" s="300"/>
      <c r="X183" s="300"/>
      <c r="Y183" s="300"/>
      <c r="Z183" s="300"/>
      <c r="AA183" s="300"/>
      <c r="AB183" s="300"/>
      <c r="AC183" s="300"/>
      <c r="AD183" s="300"/>
      <c r="AE183" s="300"/>
      <c r="AF183" s="300"/>
      <c r="AG183" s="300"/>
      <c r="AH183" s="300"/>
    </row>
    <row r="184" spans="8:34" x14ac:dyDescent="0.25">
      <c r="H184" s="300"/>
      <c r="I184" s="300"/>
      <c r="J184" s="300"/>
      <c r="K184" s="300"/>
      <c r="L184" s="300"/>
      <c r="M184" s="300"/>
      <c r="N184" s="300"/>
      <c r="O184" s="300"/>
      <c r="P184" s="300"/>
      <c r="Q184" s="300"/>
      <c r="R184" s="300"/>
      <c r="S184" s="300"/>
      <c r="T184" s="300"/>
      <c r="U184" s="300"/>
      <c r="V184" s="300"/>
      <c r="W184" s="300"/>
      <c r="X184" s="300"/>
      <c r="Y184" s="300"/>
      <c r="Z184" s="300"/>
      <c r="AA184" s="300"/>
      <c r="AB184" s="300"/>
      <c r="AC184" s="300"/>
      <c r="AD184" s="300"/>
      <c r="AE184" s="300"/>
      <c r="AF184" s="300"/>
      <c r="AG184" s="300"/>
      <c r="AH184" s="300"/>
    </row>
    <row r="185" spans="8:34" x14ac:dyDescent="0.25">
      <c r="H185" s="300"/>
      <c r="I185" s="300"/>
      <c r="J185" s="300"/>
      <c r="K185" s="300"/>
      <c r="L185" s="300"/>
      <c r="M185" s="300"/>
      <c r="N185" s="300"/>
      <c r="O185" s="300"/>
      <c r="P185" s="300"/>
      <c r="Q185" s="300"/>
      <c r="R185" s="300"/>
      <c r="S185" s="300"/>
      <c r="T185" s="300"/>
      <c r="U185" s="300"/>
      <c r="V185" s="300"/>
      <c r="W185" s="300"/>
      <c r="X185" s="300"/>
      <c r="Y185" s="300"/>
      <c r="Z185" s="300"/>
      <c r="AA185" s="300"/>
      <c r="AB185" s="300"/>
      <c r="AC185" s="300"/>
      <c r="AD185" s="300"/>
      <c r="AE185" s="300"/>
      <c r="AF185" s="300"/>
      <c r="AG185" s="300"/>
      <c r="AH185" s="300"/>
    </row>
    <row r="186" spans="8:34" x14ac:dyDescent="0.25">
      <c r="H186" s="300"/>
      <c r="I186" s="300"/>
      <c r="J186" s="300"/>
      <c r="K186" s="300"/>
      <c r="L186" s="300"/>
      <c r="M186" s="300"/>
      <c r="N186" s="300"/>
      <c r="O186" s="300"/>
      <c r="P186" s="300"/>
      <c r="Q186" s="300"/>
      <c r="R186" s="300"/>
      <c r="S186" s="300"/>
      <c r="T186" s="300"/>
      <c r="U186" s="300"/>
      <c r="V186" s="300"/>
      <c r="W186" s="300"/>
      <c r="X186" s="300"/>
      <c r="Y186" s="300"/>
      <c r="Z186" s="300"/>
      <c r="AA186" s="300"/>
      <c r="AB186" s="300"/>
      <c r="AC186" s="300"/>
      <c r="AD186" s="300"/>
      <c r="AE186" s="300"/>
      <c r="AF186" s="300"/>
      <c r="AG186" s="300"/>
      <c r="AH186" s="300"/>
    </row>
    <row r="187" spans="8:34" x14ac:dyDescent="0.25">
      <c r="H187" s="300"/>
      <c r="I187" s="300"/>
      <c r="J187" s="300"/>
      <c r="K187" s="300"/>
      <c r="L187" s="300"/>
      <c r="M187" s="300"/>
      <c r="N187" s="300"/>
      <c r="O187" s="300"/>
      <c r="P187" s="300"/>
      <c r="Q187" s="300"/>
      <c r="R187" s="300"/>
      <c r="S187" s="300"/>
      <c r="T187" s="300"/>
      <c r="U187" s="300"/>
      <c r="V187" s="300"/>
      <c r="W187" s="300"/>
      <c r="X187" s="300"/>
      <c r="Y187" s="300"/>
      <c r="Z187" s="300"/>
      <c r="AA187" s="300"/>
      <c r="AB187" s="300"/>
      <c r="AC187" s="300"/>
      <c r="AD187" s="300"/>
      <c r="AE187" s="300"/>
      <c r="AF187" s="300"/>
      <c r="AG187" s="300"/>
      <c r="AH187" s="300"/>
    </row>
    <row r="188" spans="8:34" x14ac:dyDescent="0.25">
      <c r="H188" s="300"/>
      <c r="I188" s="300"/>
      <c r="J188" s="300"/>
      <c r="K188" s="300"/>
      <c r="L188" s="300"/>
      <c r="M188" s="300"/>
      <c r="N188" s="300"/>
      <c r="O188" s="300"/>
      <c r="P188" s="300"/>
      <c r="Q188" s="300"/>
      <c r="R188" s="300"/>
      <c r="S188" s="300"/>
      <c r="T188" s="300"/>
      <c r="U188" s="300"/>
      <c r="V188" s="300"/>
      <c r="W188" s="300"/>
      <c r="X188" s="300"/>
      <c r="Y188" s="300"/>
      <c r="Z188" s="300"/>
      <c r="AA188" s="300"/>
      <c r="AB188" s="300"/>
      <c r="AC188" s="300"/>
      <c r="AD188" s="300"/>
      <c r="AE188" s="300"/>
      <c r="AF188" s="300"/>
      <c r="AG188" s="300"/>
      <c r="AH188" s="300"/>
    </row>
    <row r="189" spans="8:34" x14ac:dyDescent="0.25">
      <c r="H189" s="300"/>
      <c r="I189" s="300"/>
      <c r="J189" s="300"/>
      <c r="K189" s="300"/>
      <c r="L189" s="300"/>
      <c r="M189" s="300"/>
      <c r="N189" s="300"/>
      <c r="O189" s="300"/>
      <c r="P189" s="300"/>
      <c r="Q189" s="300"/>
      <c r="R189" s="300"/>
      <c r="S189" s="300"/>
      <c r="T189" s="300"/>
      <c r="U189" s="300"/>
      <c r="V189" s="300"/>
      <c r="W189" s="300"/>
      <c r="X189" s="300"/>
      <c r="Y189" s="300"/>
      <c r="Z189" s="300"/>
      <c r="AA189" s="300"/>
      <c r="AB189" s="300"/>
      <c r="AC189" s="300"/>
      <c r="AD189" s="300"/>
      <c r="AE189" s="300"/>
      <c r="AF189" s="300"/>
      <c r="AG189" s="300"/>
      <c r="AH189" s="300"/>
    </row>
    <row r="190" spans="8:34" x14ac:dyDescent="0.25">
      <c r="H190" s="300"/>
      <c r="I190" s="300"/>
      <c r="J190" s="300"/>
      <c r="K190" s="300"/>
      <c r="L190" s="300"/>
      <c r="M190" s="300"/>
      <c r="N190" s="300"/>
      <c r="O190" s="300"/>
      <c r="P190" s="300"/>
      <c r="Q190" s="300"/>
      <c r="R190" s="300"/>
      <c r="S190" s="300"/>
      <c r="T190" s="300"/>
      <c r="U190" s="300"/>
      <c r="V190" s="300"/>
      <c r="W190" s="300"/>
      <c r="X190" s="300"/>
      <c r="Y190" s="300"/>
      <c r="Z190" s="300"/>
      <c r="AA190" s="300"/>
      <c r="AB190" s="300"/>
      <c r="AC190" s="300"/>
      <c r="AD190" s="300"/>
      <c r="AE190" s="300"/>
      <c r="AF190" s="300"/>
      <c r="AG190" s="300"/>
      <c r="AH190" s="300"/>
    </row>
    <row r="191" spans="8:34" x14ac:dyDescent="0.25">
      <c r="H191" s="300"/>
      <c r="I191" s="300"/>
      <c r="J191" s="300"/>
      <c r="K191" s="300"/>
      <c r="L191" s="300"/>
      <c r="M191" s="300"/>
      <c r="N191" s="300"/>
      <c r="O191" s="300"/>
      <c r="P191" s="300"/>
      <c r="Q191" s="300"/>
      <c r="R191" s="300"/>
      <c r="S191" s="300"/>
      <c r="T191" s="300"/>
      <c r="U191" s="300"/>
      <c r="V191" s="300"/>
      <c r="W191" s="300"/>
      <c r="X191" s="300"/>
      <c r="Y191" s="300"/>
      <c r="Z191" s="300"/>
      <c r="AA191" s="300"/>
      <c r="AB191" s="300"/>
      <c r="AC191" s="300"/>
      <c r="AD191" s="300"/>
      <c r="AE191" s="300"/>
      <c r="AF191" s="300"/>
      <c r="AG191" s="300"/>
      <c r="AH191" s="300"/>
    </row>
    <row r="192" spans="8:34" x14ac:dyDescent="0.25">
      <c r="H192" s="300"/>
      <c r="I192" s="300"/>
      <c r="J192" s="300"/>
      <c r="K192" s="300"/>
      <c r="L192" s="300"/>
      <c r="M192" s="300"/>
      <c r="N192" s="300"/>
      <c r="O192" s="300"/>
      <c r="P192" s="300"/>
      <c r="Q192" s="300"/>
      <c r="R192" s="300"/>
      <c r="S192" s="300"/>
      <c r="T192" s="300"/>
      <c r="U192" s="300"/>
      <c r="V192" s="300"/>
      <c r="W192" s="300"/>
      <c r="X192" s="300"/>
      <c r="Y192" s="300"/>
      <c r="Z192" s="300"/>
      <c r="AA192" s="300"/>
      <c r="AB192" s="300"/>
      <c r="AC192" s="300"/>
      <c r="AD192" s="300"/>
      <c r="AE192" s="300"/>
      <c r="AF192" s="300"/>
      <c r="AG192" s="300"/>
      <c r="AH192" s="300"/>
    </row>
    <row r="193" spans="8:34" x14ac:dyDescent="0.25">
      <c r="H193" s="300"/>
      <c r="I193" s="300"/>
      <c r="J193" s="300"/>
      <c r="K193" s="300"/>
      <c r="L193" s="300"/>
      <c r="M193" s="300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  <c r="X193" s="300"/>
      <c r="Y193" s="300"/>
      <c r="Z193" s="300"/>
      <c r="AA193" s="300"/>
      <c r="AB193" s="300"/>
      <c r="AC193" s="300"/>
      <c r="AD193" s="300"/>
      <c r="AE193" s="300"/>
      <c r="AF193" s="300"/>
      <c r="AG193" s="300"/>
      <c r="AH193" s="300"/>
    </row>
    <row r="194" spans="8:34" x14ac:dyDescent="0.25">
      <c r="H194" s="300"/>
      <c r="I194" s="300"/>
      <c r="J194" s="300"/>
      <c r="K194" s="300"/>
      <c r="L194" s="300"/>
      <c r="M194" s="300"/>
      <c r="N194" s="300"/>
      <c r="O194" s="300"/>
      <c r="P194" s="300"/>
      <c r="Q194" s="300"/>
      <c r="R194" s="300"/>
      <c r="S194" s="300"/>
      <c r="T194" s="300"/>
      <c r="U194" s="300"/>
      <c r="V194" s="300"/>
      <c r="W194" s="300"/>
      <c r="X194" s="300"/>
      <c r="Y194" s="300"/>
      <c r="Z194" s="300"/>
      <c r="AA194" s="300"/>
      <c r="AB194" s="300"/>
      <c r="AC194" s="300"/>
      <c r="AD194" s="300"/>
      <c r="AE194" s="300"/>
      <c r="AF194" s="300"/>
      <c r="AG194" s="300"/>
      <c r="AH194" s="300"/>
    </row>
    <row r="195" spans="8:34" x14ac:dyDescent="0.25">
      <c r="H195" s="300"/>
      <c r="I195" s="300"/>
      <c r="J195" s="300"/>
      <c r="K195" s="300"/>
      <c r="L195" s="300"/>
      <c r="M195" s="300"/>
      <c r="N195" s="300"/>
      <c r="O195" s="300"/>
      <c r="P195" s="300"/>
      <c r="Q195" s="300"/>
      <c r="R195" s="300"/>
      <c r="S195" s="300"/>
      <c r="T195" s="300"/>
      <c r="U195" s="300"/>
      <c r="V195" s="300"/>
      <c r="W195" s="300"/>
      <c r="X195" s="300"/>
      <c r="Y195" s="300"/>
      <c r="Z195" s="300"/>
      <c r="AA195" s="300"/>
      <c r="AB195" s="300"/>
      <c r="AC195" s="300"/>
      <c r="AD195" s="300"/>
      <c r="AE195" s="300"/>
      <c r="AF195" s="300"/>
      <c r="AG195" s="300"/>
      <c r="AH195" s="300"/>
    </row>
    <row r="196" spans="8:34" x14ac:dyDescent="0.25">
      <c r="H196" s="300"/>
      <c r="I196" s="300"/>
      <c r="J196" s="300"/>
      <c r="K196" s="300"/>
      <c r="L196" s="300"/>
      <c r="M196" s="300"/>
      <c r="N196" s="300"/>
      <c r="O196" s="300"/>
      <c r="P196" s="300"/>
      <c r="Q196" s="300"/>
      <c r="R196" s="300"/>
      <c r="S196" s="300"/>
      <c r="T196" s="300"/>
      <c r="U196" s="300"/>
      <c r="V196" s="300"/>
      <c r="W196" s="300"/>
      <c r="X196" s="300"/>
      <c r="Y196" s="300"/>
      <c r="Z196" s="300"/>
      <c r="AA196" s="300"/>
      <c r="AB196" s="300"/>
      <c r="AC196" s="300"/>
      <c r="AD196" s="300"/>
      <c r="AE196" s="300"/>
      <c r="AF196" s="300"/>
      <c r="AG196" s="300"/>
      <c r="AH196" s="300"/>
    </row>
    <row r="197" spans="8:34" x14ac:dyDescent="0.25">
      <c r="H197" s="300"/>
      <c r="I197" s="300"/>
      <c r="J197" s="300"/>
      <c r="K197" s="300"/>
      <c r="L197" s="300"/>
      <c r="M197" s="300"/>
      <c r="N197" s="300"/>
      <c r="O197" s="300"/>
      <c r="P197" s="300"/>
      <c r="Q197" s="300"/>
      <c r="R197" s="300"/>
      <c r="S197" s="300"/>
      <c r="T197" s="300"/>
      <c r="U197" s="300"/>
      <c r="V197" s="300"/>
      <c r="W197" s="300"/>
      <c r="X197" s="300"/>
      <c r="Y197" s="300"/>
      <c r="Z197" s="300"/>
      <c r="AA197" s="300"/>
      <c r="AB197" s="300"/>
      <c r="AC197" s="300"/>
      <c r="AD197" s="300"/>
      <c r="AE197" s="300"/>
      <c r="AF197" s="300"/>
      <c r="AG197" s="300"/>
      <c r="AH197" s="300"/>
    </row>
    <row r="198" spans="8:34" x14ac:dyDescent="0.25">
      <c r="H198" s="300"/>
      <c r="I198" s="300"/>
      <c r="J198" s="300"/>
      <c r="K198" s="300"/>
      <c r="L198" s="300"/>
      <c r="M198" s="300"/>
      <c r="N198" s="300"/>
      <c r="O198" s="300"/>
      <c r="P198" s="300"/>
      <c r="Q198" s="300"/>
      <c r="R198" s="300"/>
      <c r="S198" s="300"/>
      <c r="T198" s="300"/>
      <c r="U198" s="300"/>
      <c r="V198" s="300"/>
      <c r="W198" s="300"/>
      <c r="X198" s="300"/>
      <c r="Y198" s="300"/>
      <c r="Z198" s="300"/>
      <c r="AA198" s="300"/>
      <c r="AB198" s="300"/>
      <c r="AC198" s="300"/>
      <c r="AD198" s="300"/>
      <c r="AE198" s="300"/>
      <c r="AF198" s="300"/>
      <c r="AG198" s="300"/>
      <c r="AH198" s="300"/>
    </row>
    <row r="199" spans="8:34" x14ac:dyDescent="0.25">
      <c r="H199" s="300"/>
      <c r="I199" s="300"/>
      <c r="J199" s="300"/>
      <c r="K199" s="300"/>
      <c r="L199" s="300"/>
      <c r="M199" s="300"/>
      <c r="N199" s="300"/>
      <c r="O199" s="300"/>
      <c r="P199" s="300"/>
      <c r="Q199" s="300"/>
      <c r="R199" s="300"/>
      <c r="S199" s="300"/>
      <c r="T199" s="300"/>
      <c r="U199" s="300"/>
      <c r="V199" s="300"/>
      <c r="W199" s="300"/>
      <c r="X199" s="300"/>
      <c r="Y199" s="300"/>
      <c r="Z199" s="300"/>
      <c r="AA199" s="300"/>
      <c r="AB199" s="300"/>
      <c r="AC199" s="300"/>
      <c r="AD199" s="300"/>
      <c r="AE199" s="300"/>
      <c r="AF199" s="300"/>
      <c r="AG199" s="300"/>
      <c r="AH199" s="300"/>
    </row>
    <row r="200" spans="8:34" x14ac:dyDescent="0.25">
      <c r="H200" s="300"/>
      <c r="I200" s="300"/>
      <c r="J200" s="300"/>
      <c r="K200" s="300"/>
      <c r="L200" s="300"/>
      <c r="M200" s="300"/>
      <c r="N200" s="300"/>
      <c r="O200" s="300"/>
      <c r="P200" s="300"/>
      <c r="Q200" s="300"/>
      <c r="R200" s="300"/>
      <c r="S200" s="300"/>
      <c r="T200" s="300"/>
      <c r="U200" s="300"/>
      <c r="V200" s="300"/>
      <c r="W200" s="300"/>
      <c r="X200" s="300"/>
      <c r="Y200" s="300"/>
      <c r="Z200" s="300"/>
      <c r="AA200" s="300"/>
      <c r="AB200" s="300"/>
      <c r="AC200" s="300"/>
      <c r="AD200" s="300"/>
      <c r="AE200" s="300"/>
      <c r="AF200" s="300"/>
      <c r="AG200" s="300"/>
      <c r="AH200" s="300"/>
    </row>
    <row r="201" spans="8:34" x14ac:dyDescent="0.25">
      <c r="H201" s="300"/>
      <c r="I201" s="300"/>
      <c r="J201" s="300"/>
      <c r="K201" s="300"/>
      <c r="L201" s="300"/>
      <c r="M201" s="300"/>
      <c r="N201" s="300"/>
      <c r="O201" s="300"/>
      <c r="P201" s="300"/>
      <c r="Q201" s="300"/>
      <c r="R201" s="300"/>
      <c r="S201" s="300"/>
      <c r="T201" s="300"/>
      <c r="U201" s="300"/>
      <c r="V201" s="300"/>
      <c r="W201" s="300"/>
      <c r="X201" s="300"/>
      <c r="Y201" s="300"/>
      <c r="Z201" s="300"/>
      <c r="AA201" s="300"/>
      <c r="AB201" s="300"/>
      <c r="AC201" s="300"/>
      <c r="AD201" s="300"/>
      <c r="AE201" s="300"/>
      <c r="AF201" s="300"/>
      <c r="AG201" s="300"/>
      <c r="AH201" s="300"/>
    </row>
    <row r="202" spans="8:34" x14ac:dyDescent="0.25">
      <c r="H202" s="300"/>
      <c r="I202" s="300"/>
      <c r="J202" s="300"/>
      <c r="K202" s="300"/>
      <c r="L202" s="300"/>
      <c r="M202" s="300"/>
      <c r="N202" s="300"/>
      <c r="O202" s="300"/>
      <c r="P202" s="300"/>
      <c r="Q202" s="300"/>
      <c r="R202" s="300"/>
      <c r="S202" s="300"/>
      <c r="T202" s="300"/>
      <c r="U202" s="300"/>
      <c r="V202" s="300"/>
      <c r="W202" s="300"/>
      <c r="X202" s="300"/>
      <c r="Y202" s="300"/>
      <c r="Z202" s="300"/>
      <c r="AA202" s="300"/>
      <c r="AB202" s="300"/>
      <c r="AC202" s="300"/>
      <c r="AD202" s="300"/>
      <c r="AE202" s="300"/>
      <c r="AF202" s="300"/>
      <c r="AG202" s="300"/>
      <c r="AH202" s="300"/>
    </row>
    <row r="203" spans="8:34" x14ac:dyDescent="0.25">
      <c r="H203" s="300"/>
      <c r="I203" s="300"/>
      <c r="J203" s="300"/>
      <c r="K203" s="300"/>
      <c r="L203" s="300"/>
      <c r="M203" s="300"/>
      <c r="N203" s="300"/>
      <c r="O203" s="300"/>
      <c r="P203" s="300"/>
      <c r="Q203" s="300"/>
      <c r="R203" s="300"/>
      <c r="S203" s="300"/>
      <c r="T203" s="300"/>
      <c r="U203" s="300"/>
      <c r="V203" s="300"/>
      <c r="W203" s="300"/>
      <c r="X203" s="300"/>
      <c r="Y203" s="300"/>
      <c r="Z203" s="300"/>
      <c r="AA203" s="300"/>
      <c r="AB203" s="300"/>
      <c r="AC203" s="300"/>
      <c r="AD203" s="300"/>
      <c r="AE203" s="300"/>
      <c r="AF203" s="300"/>
      <c r="AG203" s="300"/>
      <c r="AH203" s="300"/>
    </row>
    <row r="204" spans="8:34" x14ac:dyDescent="0.25">
      <c r="H204" s="300"/>
      <c r="I204" s="300"/>
      <c r="J204" s="300"/>
      <c r="K204" s="300"/>
      <c r="L204" s="300"/>
      <c r="M204" s="300"/>
      <c r="N204" s="300"/>
      <c r="O204" s="300"/>
      <c r="P204" s="300"/>
      <c r="Q204" s="300"/>
      <c r="R204" s="300"/>
      <c r="S204" s="300"/>
      <c r="T204" s="300"/>
      <c r="U204" s="300"/>
      <c r="V204" s="300"/>
      <c r="W204" s="300"/>
      <c r="X204" s="300"/>
      <c r="Y204" s="300"/>
      <c r="Z204" s="300"/>
      <c r="AA204" s="300"/>
      <c r="AB204" s="300"/>
      <c r="AC204" s="300"/>
      <c r="AD204" s="300"/>
      <c r="AE204" s="300"/>
      <c r="AF204" s="300"/>
      <c r="AG204" s="300"/>
      <c r="AH204" s="300"/>
    </row>
    <row r="205" spans="8:34" x14ac:dyDescent="0.25">
      <c r="H205" s="300"/>
      <c r="I205" s="300"/>
      <c r="J205" s="300"/>
      <c r="K205" s="300"/>
      <c r="L205" s="300"/>
      <c r="M205" s="300"/>
      <c r="N205" s="300"/>
      <c r="O205" s="300"/>
      <c r="P205" s="300"/>
      <c r="Q205" s="300"/>
      <c r="R205" s="300"/>
      <c r="S205" s="300"/>
      <c r="T205" s="300"/>
      <c r="U205" s="300"/>
      <c r="V205" s="300"/>
      <c r="W205" s="300"/>
      <c r="X205" s="300"/>
      <c r="Y205" s="300"/>
      <c r="Z205" s="300"/>
      <c r="AA205" s="300"/>
      <c r="AB205" s="300"/>
      <c r="AC205" s="300"/>
      <c r="AD205" s="300"/>
      <c r="AE205" s="300"/>
      <c r="AF205" s="300"/>
      <c r="AG205" s="300"/>
      <c r="AH205" s="300"/>
    </row>
    <row r="206" spans="8:34" x14ac:dyDescent="0.25">
      <c r="H206" s="300"/>
      <c r="I206" s="300"/>
      <c r="J206" s="300"/>
      <c r="K206" s="300"/>
      <c r="L206" s="300"/>
      <c r="M206" s="300"/>
      <c r="N206" s="300"/>
      <c r="O206" s="300"/>
      <c r="P206" s="300"/>
      <c r="Q206" s="300"/>
      <c r="R206" s="300"/>
      <c r="S206" s="300"/>
      <c r="T206" s="300"/>
      <c r="U206" s="300"/>
      <c r="V206" s="300"/>
      <c r="W206" s="300"/>
      <c r="X206" s="300"/>
      <c r="Y206" s="300"/>
      <c r="Z206" s="300"/>
      <c r="AA206" s="300"/>
      <c r="AB206" s="300"/>
      <c r="AC206" s="300"/>
      <c r="AD206" s="300"/>
      <c r="AE206" s="300"/>
      <c r="AF206" s="300"/>
      <c r="AG206" s="300"/>
      <c r="AH206" s="300"/>
    </row>
    <row r="207" spans="8:34" x14ac:dyDescent="0.25">
      <c r="H207" s="300"/>
      <c r="I207" s="300"/>
      <c r="J207" s="300"/>
      <c r="K207" s="300"/>
      <c r="L207" s="300"/>
      <c r="M207" s="300"/>
      <c r="N207" s="300"/>
      <c r="O207" s="300"/>
      <c r="P207" s="300"/>
      <c r="Q207" s="300"/>
      <c r="R207" s="300"/>
      <c r="S207" s="300"/>
      <c r="T207" s="300"/>
      <c r="U207" s="300"/>
      <c r="V207" s="300"/>
      <c r="W207" s="300"/>
      <c r="X207" s="300"/>
      <c r="Y207" s="300"/>
      <c r="Z207" s="300"/>
      <c r="AA207" s="300"/>
      <c r="AB207" s="300"/>
      <c r="AC207" s="300"/>
      <c r="AD207" s="300"/>
      <c r="AE207" s="300"/>
      <c r="AF207" s="300"/>
      <c r="AG207" s="300"/>
      <c r="AH207" s="300"/>
    </row>
    <row r="208" spans="8:34" x14ac:dyDescent="0.25">
      <c r="H208" s="300"/>
      <c r="I208" s="300"/>
      <c r="J208" s="300"/>
      <c r="K208" s="300"/>
      <c r="L208" s="300"/>
      <c r="M208" s="300"/>
      <c r="N208" s="300"/>
      <c r="O208" s="300"/>
      <c r="P208" s="300"/>
      <c r="Q208" s="300"/>
      <c r="R208" s="300"/>
      <c r="S208" s="300"/>
      <c r="T208" s="300"/>
      <c r="U208" s="300"/>
      <c r="V208" s="300"/>
      <c r="W208" s="300"/>
      <c r="X208" s="300"/>
      <c r="Y208" s="300"/>
      <c r="Z208" s="300"/>
      <c r="AA208" s="300"/>
      <c r="AB208" s="300"/>
      <c r="AC208" s="300"/>
      <c r="AD208" s="300"/>
      <c r="AE208" s="300"/>
      <c r="AF208" s="300"/>
      <c r="AG208" s="300"/>
      <c r="AH208" s="300"/>
    </row>
    <row r="209" spans="8:34" x14ac:dyDescent="0.25">
      <c r="H209" s="300"/>
      <c r="I209" s="300"/>
      <c r="J209" s="300"/>
      <c r="K209" s="300"/>
      <c r="L209" s="300"/>
      <c r="M209" s="300"/>
      <c r="N209" s="300"/>
      <c r="O209" s="300"/>
      <c r="P209" s="300"/>
      <c r="Q209" s="300"/>
      <c r="R209" s="300"/>
      <c r="S209" s="300"/>
      <c r="T209" s="300"/>
      <c r="U209" s="300"/>
      <c r="V209" s="300"/>
      <c r="W209" s="300"/>
      <c r="X209" s="300"/>
      <c r="Y209" s="300"/>
      <c r="Z209" s="300"/>
      <c r="AA209" s="300"/>
      <c r="AB209" s="300"/>
      <c r="AC209" s="300"/>
      <c r="AD209" s="300"/>
      <c r="AE209" s="300"/>
      <c r="AF209" s="300"/>
      <c r="AG209" s="300"/>
      <c r="AH209" s="300"/>
    </row>
    <row r="210" spans="8:34" x14ac:dyDescent="0.25">
      <c r="H210" s="300"/>
      <c r="I210" s="300"/>
      <c r="J210" s="300"/>
      <c r="K210" s="300"/>
      <c r="L210" s="300"/>
      <c r="M210" s="300"/>
      <c r="N210" s="300"/>
      <c r="O210" s="300"/>
      <c r="P210" s="300"/>
      <c r="Q210" s="300"/>
      <c r="R210" s="300"/>
      <c r="S210" s="300"/>
      <c r="T210" s="300"/>
      <c r="U210" s="300"/>
      <c r="V210" s="300"/>
      <c r="W210" s="300"/>
      <c r="X210" s="300"/>
      <c r="Y210" s="300"/>
      <c r="Z210" s="300"/>
      <c r="AA210" s="300"/>
      <c r="AB210" s="300"/>
      <c r="AC210" s="300"/>
      <c r="AD210" s="300"/>
      <c r="AE210" s="300"/>
      <c r="AF210" s="300"/>
      <c r="AG210" s="300"/>
      <c r="AH210" s="300"/>
    </row>
    <row r="211" spans="8:34" x14ac:dyDescent="0.25">
      <c r="H211" s="300"/>
      <c r="I211" s="300"/>
      <c r="J211" s="300"/>
      <c r="K211" s="300"/>
      <c r="L211" s="300"/>
      <c r="M211" s="300"/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/>
    </row>
    <row r="212" spans="8:34" x14ac:dyDescent="0.25">
      <c r="H212" s="300"/>
      <c r="I212" s="300"/>
      <c r="J212" s="300"/>
      <c r="K212" s="300"/>
      <c r="L212" s="300"/>
      <c r="M212" s="300"/>
      <c r="N212" s="300"/>
      <c r="O212" s="300"/>
      <c r="P212" s="300"/>
      <c r="Q212" s="300"/>
      <c r="R212" s="300"/>
      <c r="S212" s="300"/>
      <c r="T212" s="300"/>
      <c r="U212" s="300"/>
      <c r="V212" s="300"/>
      <c r="W212" s="300"/>
      <c r="X212" s="300"/>
      <c r="Y212" s="300"/>
      <c r="Z212" s="300"/>
      <c r="AA212" s="300"/>
      <c r="AB212" s="300"/>
      <c r="AC212" s="300"/>
      <c r="AD212" s="300"/>
      <c r="AE212" s="300"/>
      <c r="AF212" s="300"/>
      <c r="AG212" s="300"/>
      <c r="AH212" s="300"/>
    </row>
    <row r="213" spans="8:34" x14ac:dyDescent="0.25">
      <c r="H213" s="300"/>
      <c r="I213" s="300"/>
      <c r="J213" s="300"/>
      <c r="K213" s="300"/>
      <c r="L213" s="300"/>
      <c r="M213" s="300"/>
      <c r="N213" s="300"/>
      <c r="O213" s="300"/>
      <c r="P213" s="300"/>
      <c r="Q213" s="300"/>
      <c r="R213" s="300"/>
      <c r="S213" s="300"/>
      <c r="T213" s="300"/>
      <c r="U213" s="300"/>
      <c r="V213" s="300"/>
      <c r="W213" s="300"/>
      <c r="X213" s="300"/>
      <c r="Y213" s="300"/>
      <c r="Z213" s="300"/>
      <c r="AA213" s="300"/>
      <c r="AB213" s="300"/>
      <c r="AC213" s="300"/>
      <c r="AD213" s="300"/>
      <c r="AE213" s="300"/>
      <c r="AF213" s="300"/>
      <c r="AG213" s="300"/>
      <c r="AH213" s="300"/>
    </row>
    <row r="214" spans="8:34" x14ac:dyDescent="0.25">
      <c r="H214" s="300"/>
      <c r="I214" s="300"/>
      <c r="J214" s="300"/>
      <c r="K214" s="300"/>
      <c r="L214" s="300"/>
      <c r="M214" s="300"/>
      <c r="N214" s="300"/>
      <c r="O214" s="300"/>
      <c r="P214" s="300"/>
      <c r="Q214" s="300"/>
      <c r="R214" s="300"/>
      <c r="S214" s="300"/>
      <c r="T214" s="300"/>
      <c r="U214" s="300"/>
      <c r="V214" s="300"/>
      <c r="W214" s="300"/>
      <c r="X214" s="300"/>
      <c r="Y214" s="300"/>
      <c r="Z214" s="300"/>
      <c r="AA214" s="300"/>
      <c r="AB214" s="300"/>
      <c r="AC214" s="300"/>
      <c r="AD214" s="300"/>
      <c r="AE214" s="300"/>
      <c r="AF214" s="300"/>
      <c r="AG214" s="300"/>
      <c r="AH214" s="300"/>
    </row>
    <row r="215" spans="8:34" x14ac:dyDescent="0.25">
      <c r="H215" s="300"/>
      <c r="I215" s="300"/>
      <c r="J215" s="300"/>
      <c r="K215" s="300"/>
      <c r="L215" s="300"/>
      <c r="M215" s="300"/>
      <c r="N215" s="300"/>
      <c r="O215" s="300"/>
      <c r="P215" s="300"/>
      <c r="Q215" s="300"/>
      <c r="R215" s="300"/>
      <c r="S215" s="300"/>
      <c r="T215" s="300"/>
      <c r="U215" s="300"/>
      <c r="V215" s="300"/>
      <c r="W215" s="300"/>
      <c r="X215" s="300"/>
      <c r="Y215" s="300"/>
      <c r="Z215" s="300"/>
      <c r="AA215" s="300"/>
      <c r="AB215" s="300"/>
      <c r="AC215" s="300"/>
      <c r="AD215" s="300"/>
      <c r="AE215" s="300"/>
      <c r="AF215" s="300"/>
      <c r="AG215" s="300"/>
      <c r="AH215" s="300"/>
    </row>
    <row r="216" spans="8:34" x14ac:dyDescent="0.25">
      <c r="H216" s="300"/>
      <c r="I216" s="300"/>
      <c r="J216" s="300"/>
      <c r="K216" s="300"/>
      <c r="L216" s="300"/>
      <c r="M216" s="300"/>
      <c r="N216" s="300"/>
      <c r="O216" s="300"/>
      <c r="P216" s="300"/>
      <c r="Q216" s="300"/>
      <c r="R216" s="300"/>
      <c r="S216" s="300"/>
      <c r="T216" s="300"/>
      <c r="U216" s="300"/>
      <c r="V216" s="300"/>
      <c r="W216" s="300"/>
      <c r="X216" s="300"/>
      <c r="Y216" s="300"/>
      <c r="Z216" s="300"/>
      <c r="AA216" s="300"/>
      <c r="AB216" s="300"/>
      <c r="AC216" s="300"/>
      <c r="AD216" s="300"/>
      <c r="AE216" s="300"/>
      <c r="AF216" s="300"/>
      <c r="AG216" s="300"/>
      <c r="AH216" s="300"/>
    </row>
    <row r="217" spans="8:34" x14ac:dyDescent="0.25">
      <c r="H217" s="300"/>
      <c r="I217" s="300"/>
      <c r="J217" s="300"/>
      <c r="K217" s="300"/>
      <c r="L217" s="300"/>
      <c r="M217" s="300"/>
      <c r="N217" s="300"/>
      <c r="O217" s="300"/>
      <c r="P217" s="300"/>
      <c r="Q217" s="300"/>
      <c r="R217" s="300"/>
      <c r="S217" s="300"/>
      <c r="T217" s="300"/>
      <c r="U217" s="300"/>
      <c r="V217" s="300"/>
      <c r="W217" s="300"/>
      <c r="X217" s="300"/>
      <c r="Y217" s="300"/>
      <c r="Z217" s="300"/>
      <c r="AA217" s="300"/>
      <c r="AB217" s="300"/>
      <c r="AC217" s="300"/>
      <c r="AD217" s="300"/>
      <c r="AE217" s="300"/>
      <c r="AF217" s="300"/>
      <c r="AG217" s="300"/>
      <c r="AH217" s="300"/>
    </row>
    <row r="218" spans="8:34" x14ac:dyDescent="0.25">
      <c r="H218" s="300"/>
      <c r="I218" s="300"/>
      <c r="J218" s="300"/>
      <c r="K218" s="300"/>
      <c r="L218" s="300"/>
      <c r="M218" s="300"/>
      <c r="N218" s="300"/>
      <c r="O218" s="300"/>
      <c r="P218" s="300"/>
      <c r="Q218" s="300"/>
      <c r="R218" s="300"/>
      <c r="S218" s="300"/>
      <c r="T218" s="300"/>
      <c r="U218" s="300"/>
      <c r="V218" s="300"/>
      <c r="W218" s="300"/>
      <c r="X218" s="300"/>
      <c r="Y218" s="300"/>
      <c r="Z218" s="300"/>
      <c r="AA218" s="300"/>
      <c r="AB218" s="300"/>
      <c r="AC218" s="300"/>
      <c r="AD218" s="300"/>
      <c r="AE218" s="300"/>
      <c r="AF218" s="300"/>
      <c r="AG218" s="300"/>
      <c r="AH218" s="300"/>
    </row>
    <row r="219" spans="8:34" x14ac:dyDescent="0.25">
      <c r="H219" s="300"/>
      <c r="I219" s="300"/>
      <c r="J219" s="300"/>
      <c r="K219" s="300"/>
      <c r="L219" s="300"/>
      <c r="M219" s="300"/>
      <c r="N219" s="300"/>
      <c r="O219" s="300"/>
      <c r="P219" s="300"/>
      <c r="Q219" s="300"/>
      <c r="R219" s="300"/>
      <c r="S219" s="300"/>
      <c r="T219" s="300"/>
      <c r="U219" s="300"/>
      <c r="V219" s="300"/>
      <c r="W219" s="300"/>
      <c r="X219" s="300"/>
      <c r="Y219" s="300"/>
      <c r="Z219" s="300"/>
      <c r="AA219" s="300"/>
      <c r="AB219" s="300"/>
      <c r="AC219" s="300"/>
      <c r="AD219" s="300"/>
      <c r="AE219" s="300"/>
      <c r="AF219" s="300"/>
      <c r="AG219" s="300"/>
      <c r="AH219" s="300"/>
    </row>
    <row r="220" spans="8:34" x14ac:dyDescent="0.25">
      <c r="H220" s="300"/>
      <c r="I220" s="300"/>
      <c r="J220" s="300"/>
      <c r="K220" s="300"/>
      <c r="L220" s="300"/>
      <c r="M220" s="300"/>
      <c r="N220" s="300"/>
      <c r="O220" s="300"/>
      <c r="P220" s="300"/>
      <c r="Q220" s="300"/>
      <c r="R220" s="300"/>
      <c r="S220" s="300"/>
      <c r="T220" s="300"/>
      <c r="U220" s="300"/>
      <c r="V220" s="300"/>
      <c r="W220" s="300"/>
      <c r="X220" s="300"/>
      <c r="Y220" s="300"/>
      <c r="Z220" s="300"/>
      <c r="AA220" s="300"/>
      <c r="AB220" s="300"/>
      <c r="AC220" s="300"/>
      <c r="AD220" s="300"/>
      <c r="AE220" s="300"/>
      <c r="AF220" s="300"/>
      <c r="AG220" s="300"/>
      <c r="AH220" s="300"/>
    </row>
    <row r="221" spans="8:34" x14ac:dyDescent="0.25">
      <c r="H221" s="300"/>
      <c r="I221" s="300"/>
      <c r="J221" s="300"/>
      <c r="K221" s="300"/>
      <c r="L221" s="300"/>
      <c r="M221" s="300"/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/>
    </row>
    <row r="222" spans="8:34" x14ac:dyDescent="0.25">
      <c r="H222" s="300"/>
      <c r="I222" s="300"/>
      <c r="J222" s="300"/>
      <c r="K222" s="300"/>
      <c r="L222" s="300"/>
      <c r="M222" s="300"/>
      <c r="N222" s="300"/>
      <c r="O222" s="300"/>
      <c r="P222" s="300"/>
      <c r="Q222" s="300"/>
      <c r="R222" s="300"/>
      <c r="S222" s="300"/>
      <c r="T222" s="300"/>
      <c r="U222" s="300"/>
      <c r="V222" s="300"/>
      <c r="W222" s="300"/>
      <c r="X222" s="300"/>
      <c r="Y222" s="300"/>
      <c r="Z222" s="300"/>
      <c r="AA222" s="300"/>
      <c r="AB222" s="300"/>
      <c r="AC222" s="300"/>
      <c r="AD222" s="300"/>
      <c r="AE222" s="300"/>
      <c r="AF222" s="300"/>
      <c r="AG222" s="300"/>
      <c r="AH222" s="300"/>
    </row>
    <row r="223" spans="8:34" x14ac:dyDescent="0.25">
      <c r="H223" s="300"/>
      <c r="I223" s="300"/>
      <c r="J223" s="300"/>
      <c r="K223" s="300"/>
      <c r="L223" s="300"/>
      <c r="M223" s="300"/>
      <c r="N223" s="300"/>
      <c r="O223" s="300"/>
      <c r="P223" s="300"/>
      <c r="Q223" s="300"/>
      <c r="R223" s="300"/>
      <c r="S223" s="300"/>
      <c r="T223" s="300"/>
      <c r="U223" s="300"/>
      <c r="V223" s="300"/>
      <c r="W223" s="300"/>
      <c r="X223" s="300"/>
      <c r="Y223" s="300"/>
      <c r="Z223" s="300"/>
      <c r="AA223" s="300"/>
      <c r="AB223" s="300"/>
      <c r="AC223" s="300"/>
      <c r="AD223" s="300"/>
      <c r="AE223" s="300"/>
      <c r="AF223" s="300"/>
      <c r="AG223" s="300"/>
      <c r="AH223" s="300"/>
    </row>
    <row r="224" spans="8:34" x14ac:dyDescent="0.25">
      <c r="H224" s="300"/>
      <c r="I224" s="300"/>
      <c r="J224" s="300"/>
      <c r="K224" s="300"/>
      <c r="L224" s="300"/>
      <c r="M224" s="300"/>
      <c r="N224" s="300"/>
      <c r="O224" s="300"/>
      <c r="P224" s="300"/>
      <c r="Q224" s="300"/>
      <c r="R224" s="300"/>
      <c r="S224" s="300"/>
      <c r="T224" s="300"/>
      <c r="U224" s="300"/>
      <c r="V224" s="300"/>
      <c r="W224" s="300"/>
      <c r="X224" s="300"/>
      <c r="Y224" s="300"/>
      <c r="Z224" s="300"/>
      <c r="AA224" s="300"/>
      <c r="AB224" s="300"/>
      <c r="AC224" s="300"/>
      <c r="AD224" s="300"/>
      <c r="AE224" s="300"/>
      <c r="AF224" s="300"/>
      <c r="AG224" s="300"/>
      <c r="AH224" s="30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8" workbookViewId="0">
      <selection activeCell="C38" sqref="C38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5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5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5">
      <c r="A7" s="10">
        <v>4</v>
      </c>
      <c r="B7" s="129">
        <v>-223094</v>
      </c>
      <c r="C7" s="11">
        <v>-223017</v>
      </c>
      <c r="D7" s="25">
        <f t="shared" si="0"/>
        <v>77</v>
      </c>
    </row>
    <row r="8" spans="1:4" x14ac:dyDescent="0.25">
      <c r="A8" s="10">
        <v>5</v>
      </c>
      <c r="B8" s="129">
        <v>-202987</v>
      </c>
      <c r="C8" s="11">
        <v>-201864</v>
      </c>
      <c r="D8" s="25">
        <f t="shared" si="0"/>
        <v>1123</v>
      </c>
    </row>
    <row r="9" spans="1:4" x14ac:dyDescent="0.25">
      <c r="A9" s="10">
        <v>6</v>
      </c>
      <c r="B9" s="129">
        <v>-227458</v>
      </c>
      <c r="C9" s="11">
        <v>-226646</v>
      </c>
      <c r="D9" s="25">
        <f t="shared" si="0"/>
        <v>812</v>
      </c>
    </row>
    <row r="10" spans="1:4" x14ac:dyDescent="0.25">
      <c r="A10" s="10">
        <v>7</v>
      </c>
      <c r="B10" s="129">
        <v>-263167</v>
      </c>
      <c r="C10" s="11">
        <v>-260228</v>
      </c>
      <c r="D10" s="25">
        <f t="shared" si="0"/>
        <v>2939</v>
      </c>
    </row>
    <row r="11" spans="1:4" x14ac:dyDescent="0.25">
      <c r="A11" s="10">
        <v>8</v>
      </c>
      <c r="B11" s="11">
        <v>-228626</v>
      </c>
      <c r="C11" s="11">
        <v>-227753</v>
      </c>
      <c r="D11" s="25">
        <f t="shared" si="0"/>
        <v>873</v>
      </c>
    </row>
    <row r="12" spans="1:4" x14ac:dyDescent="0.25">
      <c r="A12" s="10">
        <v>9</v>
      </c>
      <c r="B12" s="11">
        <v>-224124</v>
      </c>
      <c r="C12" s="11">
        <v>-223027</v>
      </c>
      <c r="D12" s="25">
        <f t="shared" si="0"/>
        <v>1097</v>
      </c>
    </row>
    <row r="13" spans="1:4" x14ac:dyDescent="0.25">
      <c r="A13" s="10">
        <v>10</v>
      </c>
      <c r="B13" s="11">
        <v>-223650</v>
      </c>
      <c r="C13" s="11">
        <v>-222542</v>
      </c>
      <c r="D13" s="25">
        <f t="shared" si="0"/>
        <v>1108</v>
      </c>
    </row>
    <row r="14" spans="1:4" x14ac:dyDescent="0.25">
      <c r="A14" s="10">
        <v>11</v>
      </c>
      <c r="B14" s="11">
        <v>-215716</v>
      </c>
      <c r="C14" s="11">
        <v>-219327</v>
      </c>
      <c r="D14" s="25">
        <f t="shared" si="0"/>
        <v>-3611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-2442408</v>
      </c>
      <c r="C35" s="11">
        <f>SUM(C4:C34)</f>
        <v>-2434583</v>
      </c>
      <c r="D35" s="11">
        <f>SUM(D4:D34)</f>
        <v>7825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7">
        <v>37225</v>
      </c>
      <c r="D38" s="579">
        <v>74202</v>
      </c>
    </row>
    <row r="39" spans="1:30" x14ac:dyDescent="0.25">
      <c r="A39" s="12"/>
      <c r="D39" s="51"/>
    </row>
    <row r="40" spans="1:30" x14ac:dyDescent="0.25">
      <c r="A40" s="247">
        <v>37236</v>
      </c>
      <c r="D40" s="51">
        <f>+D38+D35</f>
        <v>82027</v>
      </c>
    </row>
    <row r="41" spans="1:30" x14ac:dyDescent="0.25">
      <c r="D41" s="248"/>
    </row>
    <row r="42" spans="1:30" x14ac:dyDescent="0.25">
      <c r="D42" s="248"/>
    </row>
    <row r="43" spans="1:30" ht="15.6" x14ac:dyDescent="0.3">
      <c r="B43" s="53"/>
      <c r="C43" s="55"/>
      <c r="D43" s="248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153</v>
      </c>
      <c r="B44" s="32"/>
      <c r="C44" s="32"/>
      <c r="D44" s="531"/>
      <c r="K44"/>
    </row>
    <row r="45" spans="1:30" x14ac:dyDescent="0.25">
      <c r="A45" s="49">
        <f>+A38</f>
        <v>37225</v>
      </c>
      <c r="B45" s="32"/>
      <c r="C45" s="32"/>
      <c r="D45" s="550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37236</v>
      </c>
      <c r="B46" s="32"/>
      <c r="C46" s="32"/>
      <c r="D46" s="390">
        <f>+D35*'by type_area'!J4</f>
        <v>15806.5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62304.5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5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7" workbookViewId="0">
      <selection activeCell="C38" sqref="C38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5">
      <c r="A5" s="10">
        <v>2</v>
      </c>
      <c r="B5" s="11">
        <v>-730195</v>
      </c>
      <c r="C5" s="11">
        <v>-728895</v>
      </c>
      <c r="D5" s="11"/>
      <c r="E5" s="11"/>
      <c r="F5" s="25">
        <f t="shared" ref="F5:F34" si="0">+C5-B5+E5-D5</f>
        <v>1300</v>
      </c>
      <c r="H5" s="10"/>
      <c r="I5" s="11"/>
    </row>
    <row r="6" spans="1:11" x14ac:dyDescent="0.25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5">
      <c r="A7" s="10">
        <v>4</v>
      </c>
      <c r="B7" s="11">
        <v>-702439</v>
      </c>
      <c r="C7" s="11">
        <v>-710951</v>
      </c>
      <c r="D7" s="11"/>
      <c r="E7" s="11"/>
      <c r="F7" s="25">
        <f t="shared" si="0"/>
        <v>-8512</v>
      </c>
      <c r="H7" s="10"/>
      <c r="I7" s="11"/>
      <c r="K7" s="25"/>
    </row>
    <row r="8" spans="1:11" x14ac:dyDescent="0.25">
      <c r="A8" s="10">
        <v>5</v>
      </c>
      <c r="B8" s="129">
        <v>-710737</v>
      </c>
      <c r="C8" s="11">
        <v>-709528</v>
      </c>
      <c r="D8" s="11"/>
      <c r="E8" s="11"/>
      <c r="F8" s="25">
        <f t="shared" si="0"/>
        <v>1209</v>
      </c>
      <c r="H8" s="10"/>
      <c r="I8" s="11"/>
    </row>
    <row r="9" spans="1:11" x14ac:dyDescent="0.25">
      <c r="A9" s="10">
        <v>6</v>
      </c>
      <c r="B9" s="11">
        <v>-724060</v>
      </c>
      <c r="C9" s="11">
        <v>-724723</v>
      </c>
      <c r="D9" s="11"/>
      <c r="E9" s="11"/>
      <c r="F9" s="25">
        <f t="shared" si="0"/>
        <v>-663</v>
      </c>
      <c r="H9" s="10"/>
      <c r="I9" s="11"/>
    </row>
    <row r="10" spans="1:11" x14ac:dyDescent="0.25">
      <c r="A10" s="10">
        <v>7</v>
      </c>
      <c r="B10" s="129">
        <v>-747369</v>
      </c>
      <c r="C10" s="11">
        <v>-746978</v>
      </c>
      <c r="D10" s="129"/>
      <c r="E10" s="11"/>
      <c r="F10" s="25">
        <f t="shared" si="0"/>
        <v>391</v>
      </c>
      <c r="H10" s="10"/>
      <c r="I10" s="11"/>
    </row>
    <row r="11" spans="1:11" x14ac:dyDescent="0.25">
      <c r="A11" s="10">
        <v>8</v>
      </c>
      <c r="B11" s="11">
        <v>-762345</v>
      </c>
      <c r="C11" s="11">
        <v>-763214</v>
      </c>
      <c r="D11" s="11"/>
      <c r="E11" s="11"/>
      <c r="F11" s="25">
        <f t="shared" si="0"/>
        <v>-869</v>
      </c>
      <c r="H11" s="10"/>
      <c r="I11" s="11"/>
    </row>
    <row r="12" spans="1:11" x14ac:dyDescent="0.25">
      <c r="A12" s="10">
        <v>9</v>
      </c>
      <c r="B12" s="11">
        <v>-753963</v>
      </c>
      <c r="C12" s="11">
        <v>-756703</v>
      </c>
      <c r="D12" s="11"/>
      <c r="E12" s="11"/>
      <c r="F12" s="25">
        <f t="shared" si="0"/>
        <v>-2740</v>
      </c>
      <c r="H12" s="10"/>
      <c r="I12" s="11"/>
    </row>
    <row r="13" spans="1:11" x14ac:dyDescent="0.25">
      <c r="A13" s="10">
        <v>10</v>
      </c>
      <c r="B13" s="11">
        <v>-755573</v>
      </c>
      <c r="C13" s="11">
        <v>-756009</v>
      </c>
      <c r="D13" s="129"/>
      <c r="E13" s="11"/>
      <c r="F13" s="25">
        <f t="shared" si="0"/>
        <v>-436</v>
      </c>
      <c r="H13" s="10"/>
      <c r="I13" s="11"/>
    </row>
    <row r="14" spans="1:11" x14ac:dyDescent="0.25">
      <c r="A14" s="10">
        <v>11</v>
      </c>
      <c r="B14" s="11">
        <v>-762551</v>
      </c>
      <c r="C14" s="11">
        <v>-756396</v>
      </c>
      <c r="D14" s="11"/>
      <c r="E14" s="11"/>
      <c r="F14" s="25">
        <f t="shared" si="0"/>
        <v>6155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-8053505</v>
      </c>
      <c r="C35" s="11">
        <f>SUM(C4:C34)</f>
        <v>-8066176</v>
      </c>
      <c r="D35" s="11">
        <f>SUM(D4:D34)</f>
        <v>0</v>
      </c>
      <c r="E35" s="11">
        <f>SUM(E4:E34)</f>
        <v>0</v>
      </c>
      <c r="F35" s="11">
        <f>SUM(F4:F34)</f>
        <v>-12671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37225</v>
      </c>
      <c r="D38" s="248"/>
      <c r="E38" s="248"/>
      <c r="F38" s="549">
        <v>170123</v>
      </c>
      <c r="G38" s="248"/>
    </row>
    <row r="39" spans="1:45" x14ac:dyDescent="0.25">
      <c r="A39" s="2"/>
      <c r="D39" s="248"/>
      <c r="E39" s="248"/>
      <c r="F39" s="51"/>
      <c r="G39" s="248"/>
    </row>
    <row r="40" spans="1:45" x14ac:dyDescent="0.25">
      <c r="A40" s="57">
        <v>37236</v>
      </c>
      <c r="D40" s="248"/>
      <c r="E40" s="248"/>
      <c r="F40" s="51">
        <f>+F38+F35</f>
        <v>157452</v>
      </c>
      <c r="G40" s="248"/>
    </row>
    <row r="41" spans="1:45" x14ac:dyDescent="0.25">
      <c r="D41" s="248"/>
      <c r="E41" s="248"/>
      <c r="F41" s="248"/>
      <c r="G41" s="248"/>
    </row>
    <row r="42" spans="1:45" x14ac:dyDescent="0.25">
      <c r="D42" s="248"/>
      <c r="E42" s="248"/>
      <c r="F42" s="248"/>
      <c r="G42" s="248"/>
      <c r="AF42" s="303"/>
      <c r="AG42" s="303"/>
      <c r="AH42" s="303"/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</row>
    <row r="43" spans="1:45" ht="15.6" x14ac:dyDescent="0.3">
      <c r="A43" s="53"/>
      <c r="B43" s="11"/>
      <c r="C43" s="11"/>
      <c r="D43" s="248"/>
      <c r="E43" s="248"/>
      <c r="F43" s="325"/>
      <c r="G43" s="24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4"/>
      <c r="AG43" s="303"/>
      <c r="AH43" s="303"/>
      <c r="AI43" s="305"/>
      <c r="AJ43" s="304"/>
      <c r="AK43" s="303"/>
      <c r="AL43" s="303"/>
      <c r="AM43" s="305"/>
      <c r="AN43" s="304"/>
      <c r="AO43" s="303"/>
      <c r="AP43" s="303"/>
      <c r="AQ43" s="303"/>
      <c r="AR43" s="303"/>
      <c r="AS43" s="303"/>
    </row>
    <row r="44" spans="1:45" x14ac:dyDescent="0.25">
      <c r="A44" s="32" t="s">
        <v>153</v>
      </c>
      <c r="B44" s="32"/>
      <c r="C44" s="32"/>
      <c r="D44" s="531"/>
      <c r="E44" s="248"/>
      <c r="F44" s="248"/>
      <c r="G44" s="248"/>
      <c r="K44"/>
      <c r="AF44" s="303"/>
      <c r="AG44" s="303"/>
      <c r="AH44" s="303"/>
      <c r="AI44" s="303"/>
      <c r="AJ44" s="303"/>
      <c r="AK44" s="303"/>
      <c r="AL44" s="303"/>
      <c r="AM44" s="303"/>
      <c r="AN44" s="303"/>
      <c r="AO44" s="303"/>
      <c r="AP44" s="303"/>
      <c r="AQ44" s="303"/>
      <c r="AR44" s="303"/>
      <c r="AS44" s="303"/>
    </row>
    <row r="45" spans="1:45" x14ac:dyDescent="0.25">
      <c r="A45" s="49">
        <f>+A38</f>
        <v>37225</v>
      </c>
      <c r="B45" s="32"/>
      <c r="C45" s="32"/>
      <c r="D45" s="550">
        <v>479748.49</v>
      </c>
      <c r="E45" s="248"/>
      <c r="F45" s="248"/>
      <c r="G45" s="248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6"/>
      <c r="AG45" s="306"/>
      <c r="AH45" s="303"/>
      <c r="AI45" s="307"/>
      <c r="AJ45" s="306"/>
      <c r="AK45" s="306"/>
      <c r="AL45" s="303"/>
      <c r="AM45" s="307"/>
      <c r="AN45" s="306"/>
      <c r="AO45" s="306"/>
      <c r="AP45" s="303"/>
      <c r="AQ45" s="303"/>
      <c r="AR45" s="303"/>
      <c r="AS45" s="303"/>
    </row>
    <row r="46" spans="1:45" x14ac:dyDescent="0.25">
      <c r="A46" s="49">
        <f>+A40</f>
        <v>37236</v>
      </c>
      <c r="B46" s="32"/>
      <c r="C46" s="32"/>
      <c r="D46" s="532">
        <f>+F35*'by type_area'!J4</f>
        <v>-25595.420000000002</v>
      </c>
      <c r="E46" s="248"/>
      <c r="F46" s="131"/>
      <c r="G46" s="248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8"/>
      <c r="AG46" s="308"/>
      <c r="AH46" s="309"/>
      <c r="AI46" s="310"/>
      <c r="AJ46" s="308"/>
      <c r="AK46" s="308"/>
      <c r="AL46" s="309"/>
      <c r="AM46" s="310"/>
      <c r="AN46" s="308"/>
      <c r="AO46" s="308"/>
      <c r="AP46" s="309"/>
      <c r="AQ46" s="303"/>
      <c r="AR46" s="303"/>
      <c r="AS46" s="303"/>
    </row>
    <row r="47" spans="1:45" x14ac:dyDescent="0.25">
      <c r="A47" s="32"/>
      <c r="B47" s="32"/>
      <c r="C47" s="32"/>
      <c r="D47" s="530">
        <f>+D46+D45</f>
        <v>454153.07</v>
      </c>
      <c r="E47" s="248"/>
      <c r="F47" s="533"/>
      <c r="G47" s="248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8"/>
      <c r="AG47" s="308"/>
      <c r="AH47" s="309"/>
      <c r="AI47" s="310"/>
      <c r="AJ47" s="308"/>
      <c r="AK47" s="308"/>
      <c r="AL47" s="309"/>
      <c r="AM47" s="310"/>
      <c r="AN47" s="308"/>
      <c r="AO47" s="308"/>
      <c r="AP47" s="309"/>
      <c r="AQ47" s="303"/>
      <c r="AR47" s="303"/>
      <c r="AS47" s="30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8"/>
      <c r="AG48" s="308"/>
      <c r="AH48" s="309"/>
      <c r="AI48" s="310"/>
      <c r="AJ48" s="308"/>
      <c r="AK48" s="308"/>
      <c r="AL48" s="309"/>
      <c r="AM48" s="310"/>
      <c r="AN48" s="308"/>
      <c r="AO48" s="308"/>
      <c r="AP48" s="309"/>
      <c r="AQ48" s="303"/>
      <c r="AR48" s="303"/>
      <c r="AS48" s="30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8"/>
      <c r="AG49" s="308"/>
      <c r="AH49" s="309"/>
      <c r="AI49" s="310"/>
      <c r="AJ49" s="308"/>
      <c r="AK49" s="308"/>
      <c r="AL49" s="309"/>
      <c r="AM49" s="310"/>
      <c r="AN49" s="308"/>
      <c r="AO49" s="308"/>
      <c r="AP49" s="309"/>
      <c r="AQ49" s="303"/>
      <c r="AR49" s="303"/>
      <c r="AS49" s="30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8"/>
      <c r="AG50" s="308"/>
      <c r="AH50" s="309"/>
      <c r="AI50" s="310"/>
      <c r="AJ50" s="308"/>
      <c r="AK50" s="308"/>
      <c r="AL50" s="309"/>
      <c r="AM50" s="310"/>
      <c r="AN50" s="308"/>
      <c r="AO50" s="308"/>
      <c r="AP50" s="309"/>
      <c r="AQ50" s="303"/>
      <c r="AR50" s="303"/>
      <c r="AS50" s="30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8"/>
      <c r="AG51" s="308"/>
      <c r="AH51" s="309"/>
      <c r="AI51" s="310"/>
      <c r="AJ51" s="308"/>
      <c r="AK51" s="308"/>
      <c r="AL51" s="309"/>
      <c r="AM51" s="310"/>
      <c r="AN51" s="308"/>
      <c r="AO51" s="308"/>
      <c r="AP51" s="309"/>
      <c r="AQ51" s="303"/>
      <c r="AR51" s="303"/>
      <c r="AS51" s="30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8"/>
      <c r="AG52" s="308"/>
      <c r="AH52" s="309"/>
      <c r="AI52" s="310"/>
      <c r="AJ52" s="308"/>
      <c r="AK52" s="308"/>
      <c r="AL52" s="309"/>
      <c r="AM52" s="310"/>
      <c r="AN52" s="308"/>
      <c r="AO52" s="308"/>
      <c r="AP52" s="309"/>
      <c r="AQ52" s="303"/>
      <c r="AR52" s="303"/>
      <c r="AS52" s="30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8"/>
      <c r="AG53" s="308"/>
      <c r="AH53" s="309"/>
      <c r="AI53" s="310"/>
      <c r="AJ53" s="308"/>
      <c r="AK53" s="308"/>
      <c r="AL53" s="309"/>
      <c r="AM53" s="310"/>
      <c r="AN53" s="308"/>
      <c r="AO53" s="308"/>
      <c r="AP53" s="309"/>
      <c r="AQ53" s="303"/>
      <c r="AR53" s="303"/>
      <c r="AS53" s="30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8"/>
      <c r="AG54" s="308"/>
      <c r="AH54" s="309"/>
      <c r="AI54" s="310"/>
      <c r="AJ54" s="308"/>
      <c r="AK54" s="308"/>
      <c r="AL54" s="309"/>
      <c r="AM54" s="310"/>
      <c r="AN54" s="308"/>
      <c r="AO54" s="308"/>
      <c r="AP54" s="309"/>
      <c r="AQ54" s="303"/>
      <c r="AR54" s="303"/>
      <c r="AS54" s="30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8"/>
      <c r="AG55" s="308"/>
      <c r="AH55" s="309"/>
      <c r="AI55" s="310"/>
      <c r="AJ55" s="308"/>
      <c r="AK55" s="308"/>
      <c r="AL55" s="309"/>
      <c r="AM55" s="310"/>
      <c r="AN55" s="308"/>
      <c r="AO55" s="308"/>
      <c r="AP55" s="309"/>
      <c r="AQ55" s="303"/>
      <c r="AR55" s="303"/>
      <c r="AS55" s="30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8"/>
      <c r="AG56" s="308"/>
      <c r="AH56" s="309"/>
      <c r="AI56" s="310"/>
      <c r="AJ56" s="308"/>
      <c r="AK56" s="308"/>
      <c r="AL56" s="309"/>
      <c r="AM56" s="310"/>
      <c r="AN56" s="308"/>
      <c r="AO56" s="308"/>
      <c r="AP56" s="309"/>
      <c r="AQ56" s="303"/>
      <c r="AR56" s="303"/>
      <c r="AS56" s="30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8"/>
      <c r="AG57" s="308"/>
      <c r="AH57" s="309"/>
      <c r="AI57" s="310"/>
      <c r="AJ57" s="308"/>
      <c r="AK57" s="308"/>
      <c r="AL57" s="309"/>
      <c r="AM57" s="310"/>
      <c r="AN57" s="308"/>
      <c r="AO57" s="308"/>
      <c r="AP57" s="309"/>
      <c r="AQ57" s="303"/>
      <c r="AR57" s="303"/>
      <c r="AS57" s="30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8"/>
      <c r="AG58" s="308"/>
      <c r="AH58" s="309"/>
      <c r="AI58" s="310"/>
      <c r="AJ58" s="308"/>
      <c r="AK58" s="308"/>
      <c r="AL58" s="309"/>
      <c r="AM58" s="310"/>
      <c r="AN58" s="308"/>
      <c r="AO58" s="308"/>
      <c r="AP58" s="309"/>
      <c r="AQ58" s="303"/>
      <c r="AR58" s="303"/>
      <c r="AS58" s="30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8"/>
      <c r="AG59" s="308"/>
      <c r="AH59" s="309"/>
      <c r="AI59" s="310"/>
      <c r="AJ59" s="308"/>
      <c r="AK59" s="308"/>
      <c r="AL59" s="309"/>
      <c r="AM59" s="310"/>
      <c r="AN59" s="308"/>
      <c r="AO59" s="308"/>
      <c r="AP59" s="309"/>
      <c r="AQ59" s="303"/>
      <c r="AR59" s="303"/>
      <c r="AS59" s="30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8"/>
      <c r="AG60" s="308"/>
      <c r="AH60" s="309"/>
      <c r="AI60" s="310"/>
      <c r="AJ60" s="308"/>
      <c r="AK60" s="308"/>
      <c r="AL60" s="309"/>
      <c r="AM60" s="310"/>
      <c r="AN60" s="308"/>
      <c r="AO60" s="308"/>
      <c r="AP60" s="309"/>
      <c r="AQ60" s="303"/>
      <c r="AR60" s="303"/>
      <c r="AS60" s="30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8"/>
      <c r="AG61" s="308"/>
      <c r="AH61" s="309"/>
      <c r="AI61" s="310"/>
      <c r="AJ61" s="308"/>
      <c r="AK61" s="308"/>
      <c r="AL61" s="309"/>
      <c r="AM61" s="310"/>
      <c r="AN61" s="308"/>
      <c r="AO61" s="308"/>
      <c r="AP61" s="309"/>
      <c r="AQ61" s="303"/>
      <c r="AR61" s="303"/>
      <c r="AS61" s="30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8"/>
      <c r="AG62" s="308"/>
      <c r="AH62" s="309"/>
      <c r="AI62" s="310"/>
      <c r="AJ62" s="308"/>
      <c r="AK62" s="308"/>
      <c r="AL62" s="309"/>
      <c r="AM62" s="310"/>
      <c r="AN62" s="308"/>
      <c r="AO62" s="308"/>
      <c r="AP62" s="309"/>
      <c r="AQ62" s="303"/>
      <c r="AR62" s="303"/>
      <c r="AS62" s="30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8"/>
      <c r="AG63" s="308"/>
      <c r="AH63" s="309"/>
      <c r="AI63" s="310"/>
      <c r="AJ63" s="308"/>
      <c r="AK63" s="308"/>
      <c r="AL63" s="309"/>
      <c r="AM63" s="310"/>
      <c r="AN63" s="308"/>
      <c r="AO63" s="308"/>
      <c r="AP63" s="309"/>
      <c r="AQ63" s="303"/>
      <c r="AR63" s="303"/>
      <c r="AS63" s="30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8"/>
      <c r="AG64" s="308"/>
      <c r="AH64" s="309"/>
      <c r="AI64" s="310"/>
      <c r="AJ64" s="308"/>
      <c r="AK64" s="308"/>
      <c r="AL64" s="309"/>
      <c r="AM64" s="310"/>
      <c r="AN64" s="308"/>
      <c r="AO64" s="308"/>
      <c r="AP64" s="309"/>
      <c r="AQ64" s="303"/>
      <c r="AR64" s="303"/>
      <c r="AS64" s="30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8"/>
      <c r="AG65" s="308"/>
      <c r="AH65" s="309"/>
      <c r="AI65" s="310"/>
      <c r="AJ65" s="308"/>
      <c r="AK65" s="308"/>
      <c r="AL65" s="309"/>
      <c r="AM65" s="310"/>
      <c r="AN65" s="308"/>
      <c r="AO65" s="308"/>
      <c r="AP65" s="309"/>
      <c r="AQ65" s="303"/>
      <c r="AR65" s="303"/>
      <c r="AS65" s="30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8"/>
      <c r="AG66" s="308"/>
      <c r="AH66" s="309"/>
      <c r="AI66" s="310"/>
      <c r="AJ66" s="308"/>
      <c r="AK66" s="308"/>
      <c r="AL66" s="309"/>
      <c r="AM66" s="310"/>
      <c r="AN66" s="308"/>
      <c r="AO66" s="308"/>
      <c r="AP66" s="309"/>
      <c r="AQ66" s="303"/>
      <c r="AR66" s="303"/>
      <c r="AS66" s="30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8"/>
      <c r="AG67" s="308"/>
      <c r="AH67" s="309"/>
      <c r="AI67" s="310"/>
      <c r="AJ67" s="308"/>
      <c r="AK67" s="308"/>
      <c r="AL67" s="309"/>
      <c r="AM67" s="310"/>
      <c r="AN67" s="308"/>
      <c r="AO67" s="308"/>
      <c r="AP67" s="309"/>
      <c r="AQ67" s="303"/>
      <c r="AR67" s="303"/>
      <c r="AS67" s="30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8"/>
      <c r="AG68" s="308"/>
      <c r="AH68" s="309"/>
      <c r="AI68" s="310"/>
      <c r="AJ68" s="308"/>
      <c r="AK68" s="308"/>
      <c r="AL68" s="309"/>
      <c r="AM68" s="310"/>
      <c r="AN68" s="308"/>
      <c r="AO68" s="308"/>
      <c r="AP68" s="309"/>
      <c r="AQ68" s="303"/>
      <c r="AR68" s="303"/>
      <c r="AS68" s="30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8"/>
      <c r="AG69" s="308"/>
      <c r="AH69" s="309"/>
      <c r="AI69" s="310"/>
      <c r="AJ69" s="308"/>
      <c r="AK69" s="308"/>
      <c r="AL69" s="309"/>
      <c r="AM69" s="310"/>
      <c r="AN69" s="308"/>
      <c r="AO69" s="308"/>
      <c r="AP69" s="309"/>
      <c r="AQ69" s="303"/>
      <c r="AR69" s="303"/>
      <c r="AS69" s="30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8"/>
      <c r="AG70" s="308"/>
      <c r="AH70" s="309"/>
      <c r="AI70" s="310"/>
      <c r="AJ70" s="308"/>
      <c r="AK70" s="308"/>
      <c r="AL70" s="309"/>
      <c r="AM70" s="310"/>
      <c r="AN70" s="308"/>
      <c r="AO70" s="308"/>
      <c r="AP70" s="309"/>
      <c r="AQ70" s="303"/>
      <c r="AR70" s="303"/>
      <c r="AS70" s="30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8"/>
      <c r="AG71" s="308"/>
      <c r="AH71" s="309"/>
      <c r="AI71" s="310"/>
      <c r="AJ71" s="308"/>
      <c r="AK71" s="308"/>
      <c r="AL71" s="309"/>
      <c r="AM71" s="310"/>
      <c r="AN71" s="308"/>
      <c r="AO71" s="308"/>
      <c r="AP71" s="309"/>
      <c r="AQ71" s="303"/>
      <c r="AR71" s="303"/>
      <c r="AS71" s="30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8"/>
      <c r="AG72" s="308"/>
      <c r="AH72" s="309"/>
      <c r="AI72" s="310"/>
      <c r="AJ72" s="308"/>
      <c r="AK72" s="308"/>
      <c r="AL72" s="309"/>
      <c r="AM72" s="310"/>
      <c r="AN72" s="308"/>
      <c r="AO72" s="308"/>
      <c r="AP72" s="309"/>
      <c r="AQ72" s="303"/>
      <c r="AR72" s="303"/>
      <c r="AS72" s="30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8"/>
      <c r="AG73" s="308"/>
      <c r="AH73" s="309"/>
      <c r="AI73" s="310"/>
      <c r="AJ73" s="308"/>
      <c r="AK73" s="308"/>
      <c r="AL73" s="309"/>
      <c r="AM73" s="310"/>
      <c r="AN73" s="308"/>
      <c r="AO73" s="308"/>
      <c r="AP73" s="309"/>
      <c r="AQ73" s="303"/>
      <c r="AR73" s="303"/>
      <c r="AS73" s="30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8"/>
      <c r="AG74" s="308"/>
      <c r="AH74" s="309"/>
      <c r="AI74" s="310"/>
      <c r="AJ74" s="308"/>
      <c r="AK74" s="308"/>
      <c r="AL74" s="309"/>
      <c r="AM74" s="310"/>
      <c r="AN74" s="308"/>
      <c r="AO74" s="308"/>
      <c r="AP74" s="309"/>
      <c r="AQ74" s="303"/>
      <c r="AR74" s="303"/>
      <c r="AS74" s="30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8"/>
      <c r="AG75" s="308"/>
      <c r="AH75" s="309"/>
      <c r="AI75" s="310"/>
      <c r="AJ75" s="308"/>
      <c r="AK75" s="308"/>
      <c r="AL75" s="309"/>
      <c r="AM75" s="310"/>
      <c r="AN75" s="308"/>
      <c r="AO75" s="308"/>
      <c r="AP75" s="309"/>
      <c r="AQ75" s="303"/>
      <c r="AR75" s="303"/>
      <c r="AS75" s="30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8"/>
      <c r="AG76" s="308"/>
      <c r="AH76" s="309"/>
      <c r="AI76" s="310"/>
      <c r="AJ76" s="308"/>
      <c r="AK76" s="308"/>
      <c r="AL76" s="309"/>
      <c r="AM76" s="310"/>
      <c r="AN76" s="308"/>
      <c r="AO76" s="308"/>
      <c r="AP76" s="309"/>
      <c r="AQ76" s="303"/>
      <c r="AR76" s="303"/>
      <c r="AS76" s="30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8"/>
      <c r="AG77" s="308"/>
      <c r="AH77" s="308"/>
      <c r="AI77" s="310"/>
      <c r="AJ77" s="308"/>
      <c r="AK77" s="308"/>
      <c r="AL77" s="308"/>
      <c r="AM77" s="310"/>
      <c r="AN77" s="308"/>
      <c r="AO77" s="308"/>
      <c r="AP77" s="308"/>
      <c r="AQ77" s="303"/>
      <c r="AR77" s="303"/>
      <c r="AS77" s="30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3"/>
      <c r="AG78" s="309"/>
      <c r="AH78" s="311"/>
      <c r="AI78" s="312"/>
      <c r="AJ78" s="303"/>
      <c r="AK78" s="309"/>
      <c r="AL78" s="311"/>
      <c r="AM78" s="312"/>
      <c r="AN78" s="303"/>
      <c r="AO78" s="309"/>
      <c r="AP78" s="311"/>
      <c r="AQ78" s="303"/>
      <c r="AR78" s="303"/>
      <c r="AS78" s="30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3"/>
      <c r="AG79" s="303"/>
      <c r="AH79" s="313"/>
      <c r="AI79" s="303"/>
      <c r="AJ79" s="303"/>
      <c r="AK79" s="303"/>
      <c r="AL79" s="313"/>
      <c r="AM79" s="303"/>
      <c r="AN79" s="303"/>
      <c r="AO79" s="303"/>
      <c r="AP79" s="313"/>
      <c r="AQ79" s="303"/>
      <c r="AR79" s="303"/>
      <c r="AS79" s="30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3"/>
      <c r="AG80" s="303"/>
      <c r="AH80" s="313"/>
      <c r="AI80" s="314"/>
      <c r="AJ80" s="303"/>
      <c r="AK80" s="303"/>
      <c r="AL80" s="313"/>
      <c r="AM80" s="314"/>
      <c r="AN80" s="303"/>
      <c r="AO80" s="303"/>
      <c r="AP80" s="313"/>
      <c r="AQ80" s="303"/>
      <c r="AR80" s="303"/>
      <c r="AS80" s="30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3"/>
      <c r="AG81" s="303"/>
      <c r="AH81" s="313"/>
      <c r="AI81" s="311"/>
      <c r="AJ81" s="303"/>
      <c r="AK81" s="303"/>
      <c r="AL81" s="313"/>
      <c r="AM81" s="311"/>
      <c r="AN81" s="303"/>
      <c r="AO81" s="303"/>
      <c r="AP81" s="313"/>
      <c r="AQ81" s="303"/>
      <c r="AR81" s="303"/>
      <c r="AS81" s="30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3"/>
      <c r="AG82" s="303"/>
      <c r="AH82" s="313"/>
      <c r="AI82" s="314"/>
      <c r="AJ82" s="303"/>
      <c r="AK82" s="303"/>
      <c r="AL82" s="313"/>
      <c r="AM82" s="314"/>
      <c r="AN82" s="303"/>
      <c r="AO82" s="303"/>
      <c r="AP82" s="313"/>
      <c r="AQ82" s="303"/>
      <c r="AR82" s="303"/>
      <c r="AS82" s="303"/>
    </row>
    <row r="83" spans="4:45" x14ac:dyDescent="0.25">
      <c r="AE83" s="32"/>
      <c r="AF83" s="303"/>
      <c r="AG83" s="303"/>
      <c r="AH83" s="303"/>
      <c r="AI83" s="303"/>
      <c r="AJ83" s="303"/>
      <c r="AK83" s="303"/>
      <c r="AL83" s="303"/>
      <c r="AM83" s="303"/>
      <c r="AN83" s="303"/>
      <c r="AO83" s="303"/>
      <c r="AP83" s="303"/>
      <c r="AQ83" s="303"/>
      <c r="AR83" s="303"/>
      <c r="AS83" s="303"/>
    </row>
    <row r="84" spans="4:45" x14ac:dyDescent="0.25">
      <c r="AE84" s="32"/>
      <c r="AF84" s="303"/>
      <c r="AG84" s="303"/>
      <c r="AH84" s="303"/>
      <c r="AI84" s="303"/>
      <c r="AJ84" s="303"/>
      <c r="AK84" s="303"/>
      <c r="AL84" s="303"/>
      <c r="AM84" s="303"/>
      <c r="AN84" s="303"/>
      <c r="AO84" s="303"/>
      <c r="AP84" s="303"/>
      <c r="AQ84" s="303"/>
      <c r="AR84" s="303"/>
      <c r="AS84" s="303"/>
    </row>
    <row r="85" spans="4:45" x14ac:dyDescent="0.25">
      <c r="AF85" s="303"/>
      <c r="AG85" s="303"/>
      <c r="AH85" s="303"/>
      <c r="AI85" s="303"/>
      <c r="AJ85" s="303"/>
      <c r="AK85" s="303"/>
      <c r="AL85" s="303"/>
      <c r="AM85" s="303"/>
      <c r="AN85" s="303"/>
      <c r="AO85" s="303"/>
      <c r="AP85" s="303"/>
      <c r="AQ85" s="303"/>
      <c r="AR85" s="303"/>
      <c r="AS85" s="303"/>
    </row>
    <row r="86" spans="4:45" x14ac:dyDescent="0.25">
      <c r="AF86" s="303"/>
      <c r="AG86" s="303"/>
      <c r="AH86" s="303"/>
      <c r="AI86" s="303"/>
      <c r="AJ86" s="303"/>
      <c r="AK86" s="303"/>
      <c r="AL86" s="303"/>
      <c r="AM86" s="303"/>
      <c r="AN86" s="303"/>
      <c r="AO86" s="303"/>
      <c r="AP86" s="303"/>
      <c r="AQ86" s="303"/>
      <c r="AR86" s="303"/>
      <c r="AS86" s="303"/>
    </row>
    <row r="87" spans="4:45" x14ac:dyDescent="0.25">
      <c r="AF87" s="303"/>
      <c r="AG87" s="303"/>
      <c r="AH87" s="303"/>
      <c r="AI87" s="303"/>
      <c r="AJ87" s="303"/>
      <c r="AK87" s="303"/>
      <c r="AL87" s="303"/>
      <c r="AM87" s="303"/>
      <c r="AN87" s="303"/>
      <c r="AO87" s="303"/>
      <c r="AP87" s="303"/>
      <c r="AQ87" s="303"/>
      <c r="AR87" s="303"/>
      <c r="AS87" s="303"/>
    </row>
    <row r="88" spans="4:45" x14ac:dyDescent="0.25">
      <c r="AF88" s="303"/>
      <c r="AG88" s="303"/>
      <c r="AH88" s="303"/>
      <c r="AI88" s="303"/>
      <c r="AJ88" s="303"/>
      <c r="AK88" s="303"/>
      <c r="AL88" s="303"/>
      <c r="AM88" s="303"/>
      <c r="AN88" s="303"/>
      <c r="AO88" s="303"/>
      <c r="AP88" s="303"/>
      <c r="AQ88" s="303"/>
      <c r="AR88" s="303"/>
      <c r="AS88" s="303"/>
    </row>
    <row r="89" spans="4:45" x14ac:dyDescent="0.25">
      <c r="AF89" s="303"/>
      <c r="AG89" s="303"/>
      <c r="AH89" s="303"/>
      <c r="AI89" s="303"/>
      <c r="AJ89" s="303"/>
      <c r="AK89" s="303"/>
      <c r="AL89" s="303"/>
      <c r="AM89" s="303"/>
      <c r="AN89" s="303"/>
      <c r="AO89" s="303"/>
      <c r="AP89" s="303"/>
      <c r="AQ89" s="303"/>
      <c r="AR89" s="303"/>
      <c r="AS89" s="303"/>
    </row>
    <row r="90" spans="4:45" x14ac:dyDescent="0.25">
      <c r="AF90" s="303"/>
      <c r="AG90" s="303"/>
      <c r="AH90" s="303"/>
      <c r="AI90" s="303"/>
      <c r="AJ90" s="303"/>
      <c r="AK90" s="303"/>
      <c r="AL90" s="303"/>
      <c r="AM90" s="303"/>
      <c r="AN90" s="303"/>
      <c r="AO90" s="303"/>
      <c r="AP90" s="303"/>
      <c r="AQ90" s="303"/>
      <c r="AR90" s="303"/>
      <c r="AS90" s="303"/>
    </row>
    <row r="91" spans="4:45" x14ac:dyDescent="0.25">
      <c r="AF91" s="303"/>
      <c r="AG91" s="303"/>
      <c r="AH91" s="303"/>
      <c r="AI91" s="303"/>
      <c r="AJ91" s="303"/>
      <c r="AK91" s="303"/>
      <c r="AL91" s="303"/>
      <c r="AM91" s="303"/>
      <c r="AN91" s="303"/>
      <c r="AO91" s="303"/>
      <c r="AP91" s="303"/>
      <c r="AQ91" s="303"/>
      <c r="AR91" s="303"/>
      <c r="AS91" s="303"/>
    </row>
    <row r="92" spans="4:45" x14ac:dyDescent="0.25">
      <c r="AF92" s="303"/>
      <c r="AG92" s="303"/>
      <c r="AH92" s="303"/>
      <c r="AI92" s="303"/>
      <c r="AJ92" s="303"/>
      <c r="AK92" s="303"/>
      <c r="AL92" s="303"/>
      <c r="AM92" s="303"/>
      <c r="AN92" s="303"/>
      <c r="AO92" s="303"/>
      <c r="AP92" s="303"/>
      <c r="AQ92" s="303"/>
      <c r="AR92" s="303"/>
      <c r="AS92" s="303"/>
    </row>
    <row r="93" spans="4:45" x14ac:dyDescent="0.25">
      <c r="AF93" s="303"/>
      <c r="AG93" s="303"/>
      <c r="AH93" s="303"/>
      <c r="AI93" s="303"/>
      <c r="AJ93" s="303"/>
      <c r="AK93" s="303"/>
      <c r="AL93" s="303"/>
      <c r="AM93" s="303"/>
      <c r="AN93" s="303"/>
      <c r="AO93" s="303"/>
      <c r="AP93" s="303"/>
      <c r="AQ93" s="303"/>
      <c r="AR93" s="303"/>
      <c r="AS93" s="303"/>
    </row>
    <row r="94" spans="4:45" x14ac:dyDescent="0.25">
      <c r="AF94" s="303"/>
      <c r="AG94" s="303"/>
      <c r="AH94" s="303"/>
      <c r="AI94" s="303"/>
      <c r="AJ94" s="303"/>
      <c r="AK94" s="303"/>
      <c r="AL94" s="303"/>
      <c r="AM94" s="303"/>
      <c r="AN94" s="303"/>
      <c r="AO94" s="303"/>
      <c r="AP94" s="303"/>
      <c r="AQ94" s="303"/>
      <c r="AR94" s="303"/>
      <c r="AS94" s="303"/>
    </row>
    <row r="95" spans="4:45" x14ac:dyDescent="0.25">
      <c r="AF95" s="303"/>
      <c r="AG95" s="303"/>
      <c r="AH95" s="303"/>
      <c r="AI95" s="303"/>
      <c r="AJ95" s="303"/>
      <c r="AK95" s="303"/>
      <c r="AL95" s="303"/>
      <c r="AM95" s="303"/>
      <c r="AN95" s="303"/>
      <c r="AO95" s="303"/>
      <c r="AP95" s="303"/>
      <c r="AQ95" s="303"/>
      <c r="AR95" s="303"/>
      <c r="AS95" s="303"/>
    </row>
    <row r="96" spans="4:45" x14ac:dyDescent="0.25">
      <c r="AF96" s="303"/>
      <c r="AG96" s="303"/>
      <c r="AH96" s="303"/>
      <c r="AI96" s="303"/>
      <c r="AJ96" s="303"/>
      <c r="AK96" s="303"/>
      <c r="AL96" s="303"/>
      <c r="AM96" s="303"/>
      <c r="AN96" s="303"/>
      <c r="AO96" s="303"/>
      <c r="AP96" s="303"/>
      <c r="AQ96" s="303"/>
      <c r="AR96" s="303"/>
      <c r="AS96" s="303"/>
    </row>
    <row r="97" spans="32:45" x14ac:dyDescent="0.25">
      <c r="AF97" s="303"/>
      <c r="AG97" s="303"/>
      <c r="AH97" s="303"/>
      <c r="AI97" s="303"/>
      <c r="AJ97" s="303"/>
      <c r="AK97" s="303"/>
      <c r="AL97" s="303"/>
      <c r="AM97" s="303"/>
      <c r="AN97" s="303"/>
      <c r="AO97" s="303"/>
      <c r="AP97" s="303"/>
      <c r="AQ97" s="303"/>
      <c r="AR97" s="303"/>
      <c r="AS97" s="303"/>
    </row>
    <row r="98" spans="32:45" x14ac:dyDescent="0.25">
      <c r="AF98" s="303"/>
      <c r="AG98" s="303"/>
      <c r="AH98" s="303"/>
      <c r="AI98" s="303"/>
      <c r="AJ98" s="303"/>
      <c r="AK98" s="303"/>
      <c r="AL98" s="303"/>
      <c r="AM98" s="303"/>
      <c r="AN98" s="303"/>
      <c r="AO98" s="303"/>
      <c r="AP98" s="303"/>
      <c r="AQ98" s="303"/>
      <c r="AR98" s="303"/>
      <c r="AS98" s="303"/>
    </row>
    <row r="99" spans="32:45" x14ac:dyDescent="0.25">
      <c r="AF99" s="303"/>
      <c r="AG99" s="303"/>
      <c r="AH99" s="303"/>
      <c r="AI99" s="303"/>
      <c r="AJ99" s="303"/>
      <c r="AK99" s="303"/>
      <c r="AL99" s="303"/>
      <c r="AM99" s="303"/>
      <c r="AN99" s="303"/>
      <c r="AO99" s="303"/>
      <c r="AP99" s="303"/>
      <c r="AQ99" s="303"/>
      <c r="AR99" s="303"/>
      <c r="AS99" s="303"/>
    </row>
    <row r="100" spans="32:45" x14ac:dyDescent="0.25">
      <c r="AF100" s="303"/>
      <c r="AG100" s="303"/>
      <c r="AH100" s="303"/>
      <c r="AI100" s="303"/>
      <c r="AJ100" s="303"/>
      <c r="AK100" s="303"/>
      <c r="AL100" s="303"/>
      <c r="AM100" s="303"/>
      <c r="AN100" s="303"/>
      <c r="AO100" s="303"/>
      <c r="AP100" s="303"/>
      <c r="AQ100" s="303"/>
      <c r="AR100" s="303"/>
      <c r="AS100" s="303"/>
    </row>
    <row r="101" spans="32:45" x14ac:dyDescent="0.25">
      <c r="AF101" s="303"/>
      <c r="AG101" s="303"/>
      <c r="AH101" s="303"/>
      <c r="AI101" s="303"/>
      <c r="AJ101" s="303"/>
      <c r="AK101" s="303"/>
      <c r="AL101" s="303"/>
      <c r="AM101" s="303"/>
      <c r="AN101" s="303"/>
      <c r="AO101" s="303"/>
      <c r="AP101" s="303"/>
      <c r="AQ101" s="303"/>
      <c r="AR101" s="303"/>
      <c r="AS101" s="303"/>
    </row>
    <row r="102" spans="32:45" x14ac:dyDescent="0.25">
      <c r="AF102" s="303"/>
      <c r="AG102" s="303"/>
      <c r="AH102" s="303"/>
      <c r="AI102" s="303"/>
      <c r="AJ102" s="303"/>
      <c r="AK102" s="303"/>
      <c r="AL102" s="303"/>
      <c r="AM102" s="303"/>
      <c r="AN102" s="303"/>
      <c r="AO102" s="303"/>
      <c r="AP102" s="303"/>
      <c r="AQ102" s="303"/>
      <c r="AR102" s="303"/>
      <c r="AS102" s="303"/>
    </row>
    <row r="103" spans="32:45" x14ac:dyDescent="0.25">
      <c r="AF103" s="303"/>
      <c r="AG103" s="303"/>
      <c r="AH103" s="303"/>
      <c r="AI103" s="303"/>
      <c r="AJ103" s="303"/>
      <c r="AK103" s="303"/>
      <c r="AL103" s="303"/>
      <c r="AM103" s="303"/>
      <c r="AN103" s="303"/>
      <c r="AO103" s="303"/>
      <c r="AP103" s="303"/>
      <c r="AQ103" s="303"/>
      <c r="AR103" s="303"/>
      <c r="AS103" s="303"/>
    </row>
    <row r="104" spans="32:45" x14ac:dyDescent="0.25">
      <c r="AF104" s="303"/>
      <c r="AG104" s="303"/>
      <c r="AH104" s="303"/>
      <c r="AI104" s="303"/>
      <c r="AJ104" s="303"/>
      <c r="AK104" s="303"/>
      <c r="AL104" s="303"/>
      <c r="AM104" s="303"/>
      <c r="AN104" s="303"/>
      <c r="AO104" s="303"/>
      <c r="AP104" s="303"/>
      <c r="AQ104" s="303"/>
      <c r="AR104" s="303"/>
      <c r="AS104" s="303"/>
    </row>
    <row r="105" spans="32:45" x14ac:dyDescent="0.25">
      <c r="AF105" s="303"/>
      <c r="AG105" s="303"/>
      <c r="AH105" s="303"/>
      <c r="AI105" s="303"/>
      <c r="AJ105" s="303"/>
      <c r="AK105" s="303"/>
      <c r="AL105" s="303"/>
      <c r="AM105" s="303"/>
      <c r="AN105" s="303"/>
      <c r="AO105" s="303"/>
      <c r="AP105" s="303"/>
      <c r="AQ105" s="303"/>
      <c r="AR105" s="303"/>
      <c r="AS105" s="3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E35" sqref="E35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28"/>
      <c r="L4" s="428"/>
      <c r="M4" s="428"/>
      <c r="N4" s="428"/>
      <c r="O4" s="292"/>
      <c r="P4" s="292"/>
    </row>
    <row r="5" spans="1:17" ht="13.2" x14ac:dyDescent="0.25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29" t="s">
        <v>181</v>
      </c>
      <c r="P5" s="189"/>
      <c r="Q5" s="2"/>
    </row>
    <row r="6" spans="1:17" ht="13.2" x14ac:dyDescent="0.25">
      <c r="A6" s="41">
        <v>3</v>
      </c>
      <c r="B6" s="11">
        <v>-4573</v>
      </c>
      <c r="C6" s="11">
        <v>-4260</v>
      </c>
      <c r="D6" s="11"/>
      <c r="E6" s="11"/>
      <c r="F6" s="11"/>
      <c r="G6" s="11"/>
      <c r="H6" s="11">
        <f t="shared" si="0"/>
        <v>313</v>
      </c>
      <c r="I6" s="11"/>
      <c r="J6" s="102"/>
      <c r="K6" s="118" t="s">
        <v>40</v>
      </c>
      <c r="L6" s="430" t="s">
        <v>20</v>
      </c>
      <c r="M6" s="430" t="s">
        <v>21</v>
      </c>
      <c r="N6" s="431" t="s">
        <v>50</v>
      </c>
      <c r="O6" s="429" t="s">
        <v>16</v>
      </c>
      <c r="P6" s="189" t="s">
        <v>28</v>
      </c>
      <c r="Q6" s="2"/>
    </row>
    <row r="7" spans="1:17" ht="13.2" x14ac:dyDescent="0.25">
      <c r="A7" s="41">
        <v>4</v>
      </c>
      <c r="B7" s="11">
        <v>-8603</v>
      </c>
      <c r="C7" s="11">
        <v>45</v>
      </c>
      <c r="D7" s="129"/>
      <c r="E7" s="11">
        <v>-8433</v>
      </c>
      <c r="F7" s="11"/>
      <c r="G7" s="11"/>
      <c r="H7" s="11">
        <f t="shared" si="0"/>
        <v>215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>
        <v>-9653</v>
      </c>
      <c r="C8" s="11"/>
      <c r="D8" s="11"/>
      <c r="E8" s="11">
        <v>-8241</v>
      </c>
      <c r="F8" s="11"/>
      <c r="G8" s="11"/>
      <c r="H8" s="11">
        <f t="shared" si="0"/>
        <v>1412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>
        <v>-16437</v>
      </c>
      <c r="C9" s="11">
        <v>181</v>
      </c>
      <c r="D9" s="11"/>
      <c r="E9" s="11">
        <v>-17010</v>
      </c>
      <c r="F9" s="11"/>
      <c r="G9" s="11"/>
      <c r="H9" s="11">
        <f t="shared" si="0"/>
        <v>-392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9">
        <v>8.2100000000000009</v>
      </c>
      <c r="P9" s="434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>
        <v>-8957</v>
      </c>
      <c r="C10" s="11">
        <v>181</v>
      </c>
      <c r="D10" s="11"/>
      <c r="E10" s="11">
        <v>-3732</v>
      </c>
      <c r="F10" s="11"/>
      <c r="G10" s="11"/>
      <c r="H10" s="11">
        <f t="shared" si="0"/>
        <v>5406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9">
        <v>5.62</v>
      </c>
      <c r="P10" s="434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>
        <v>-14890</v>
      </c>
      <c r="C11" s="11"/>
      <c r="D11" s="129"/>
      <c r="E11" s="11">
        <v>-14366</v>
      </c>
      <c r="F11" s="11"/>
      <c r="G11" s="11"/>
      <c r="H11" s="11">
        <f t="shared" si="0"/>
        <v>524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9">
        <v>4.9800000000000004</v>
      </c>
      <c r="P11" s="434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>
        <v>-13952</v>
      </c>
      <c r="C12" s="11"/>
      <c r="D12" s="11"/>
      <c r="E12" s="11">
        <v>-14366</v>
      </c>
      <c r="F12" s="11"/>
      <c r="G12" s="11"/>
      <c r="H12" s="11">
        <f t="shared" si="0"/>
        <v>-414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9">
        <v>4.87</v>
      </c>
      <c r="P12" s="434">
        <f t="shared" si="2"/>
        <v>131246.5</v>
      </c>
      <c r="Q12" s="2"/>
    </row>
    <row r="13" spans="1:17" ht="20.100000000000001" customHeight="1" x14ac:dyDescent="0.25">
      <c r="A13" s="41">
        <v>10</v>
      </c>
      <c r="B13" s="11">
        <v>-14001</v>
      </c>
      <c r="C13" s="11">
        <v>100</v>
      </c>
      <c r="D13" s="11"/>
      <c r="E13" s="129">
        <v>-14366</v>
      </c>
      <c r="F13" s="11"/>
      <c r="G13" s="11"/>
      <c r="H13" s="11">
        <f t="shared" si="0"/>
        <v>-265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9">
        <v>3.82</v>
      </c>
      <c r="P13" s="434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>
        <v>-53448</v>
      </c>
      <c r="C14" s="11">
        <v>181</v>
      </c>
      <c r="D14" s="11"/>
      <c r="E14" s="11">
        <v>-54000</v>
      </c>
      <c r="F14" s="11"/>
      <c r="G14" s="11"/>
      <c r="H14" s="11">
        <f t="shared" si="0"/>
        <v>-371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9">
        <v>3.2</v>
      </c>
      <c r="P14" s="434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9">
        <v>2.77</v>
      </c>
      <c r="P15" s="435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32"/>
      <c r="P16" s="433">
        <f>SUM(P9:P15)</f>
        <v>460835.37</v>
      </c>
      <c r="Q16" s="2"/>
    </row>
    <row r="17" spans="1:17" ht="13.8" thickTop="1" x14ac:dyDescent="0.25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-153992</v>
      </c>
      <c r="C35" s="44">
        <f t="shared" si="3"/>
        <v>-12092</v>
      </c>
      <c r="D35" s="11">
        <f t="shared" si="3"/>
        <v>0</v>
      </c>
      <c r="E35" s="44">
        <f t="shared" si="3"/>
        <v>-134514</v>
      </c>
      <c r="F35" s="11">
        <f t="shared" si="3"/>
        <v>0</v>
      </c>
      <c r="G35" s="11">
        <f t="shared" si="3"/>
        <v>0</v>
      </c>
      <c r="H35" s="11">
        <f t="shared" si="3"/>
        <v>7386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2.02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14919.72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534">
        <v>37225</v>
      </c>
      <c r="F38" s="531"/>
      <c r="G38" s="270"/>
      <c r="H38" s="535">
        <v>-121137</v>
      </c>
      <c r="I38" s="267"/>
      <c r="J38" s="102"/>
      <c r="K38" s="14"/>
      <c r="L38" s="14"/>
      <c r="M38" s="14"/>
      <c r="N38" s="16"/>
    </row>
    <row r="39" spans="1:14" x14ac:dyDescent="0.2">
      <c r="C39" s="14"/>
      <c r="D39" s="47"/>
      <c r="E39" s="268">
        <v>37236</v>
      </c>
      <c r="F39" s="531"/>
      <c r="G39" s="531"/>
      <c r="H39" s="330">
        <f>+H38+H37</f>
        <v>-106217.28</v>
      </c>
      <c r="I39" s="267"/>
      <c r="J39" s="102"/>
      <c r="K39" s="15"/>
      <c r="L39" s="15"/>
      <c r="M39" s="15"/>
      <c r="N39" s="46"/>
    </row>
    <row r="40" spans="1:14" x14ac:dyDescent="0.2">
      <c r="C40" s="14"/>
      <c r="D40" s="50"/>
      <c r="E40" s="536"/>
      <c r="F40" s="268"/>
      <c r="G40" s="536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536"/>
      <c r="F41" s="268"/>
      <c r="G41" s="536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7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7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7"/>
      <c r="J44" s="102"/>
    </row>
    <row r="45" spans="1:14" x14ac:dyDescent="0.2">
      <c r="A45" s="101"/>
      <c r="B45" s="32" t="s">
        <v>152</v>
      </c>
      <c r="E45" s="252"/>
      <c r="F45" s="129"/>
      <c r="G45" s="129"/>
      <c r="H45" s="129"/>
      <c r="I45" s="267"/>
      <c r="J45" s="102"/>
    </row>
    <row r="46" spans="1:14" x14ac:dyDescent="0.2">
      <c r="A46" s="101"/>
      <c r="B46" s="49">
        <f>+E38</f>
        <v>37225</v>
      </c>
      <c r="E46" s="267">
        <v>115864</v>
      </c>
      <c r="F46" s="129"/>
      <c r="G46" s="129"/>
      <c r="H46" s="129">
        <f>27452*2.81</f>
        <v>77140.12</v>
      </c>
      <c r="I46" s="267"/>
      <c r="J46" s="102"/>
      <c r="L46" s="2"/>
    </row>
    <row r="47" spans="1:14" x14ac:dyDescent="0.2">
      <c r="A47" s="101"/>
      <c r="B47" s="49">
        <f>+E39</f>
        <v>37236</v>
      </c>
      <c r="E47" s="510">
        <f>+H35</f>
        <v>7386</v>
      </c>
      <c r="F47" s="129"/>
      <c r="G47" s="129"/>
      <c r="H47" s="129"/>
      <c r="I47" s="267"/>
      <c r="J47" s="102"/>
      <c r="L47" s="2"/>
    </row>
    <row r="48" spans="1:14" x14ac:dyDescent="0.2">
      <c r="A48" s="101"/>
      <c r="E48" s="267">
        <f>+E47+E46</f>
        <v>123250</v>
      </c>
      <c r="F48" s="129"/>
      <c r="G48" s="129"/>
      <c r="H48" s="129"/>
      <c r="I48" s="267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537"/>
      <c r="F49" s="129"/>
      <c r="G49" s="129"/>
      <c r="H49" s="129"/>
      <c r="I49" s="538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38" sqref="E38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-175839</v>
      </c>
      <c r="E5" s="11">
        <v>-179887</v>
      </c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1">
        <v>-210049</v>
      </c>
      <c r="E6" s="11">
        <v>-207310</v>
      </c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>
        <v>31</v>
      </c>
      <c r="C7" s="129"/>
      <c r="D7" s="11">
        <v>-180463</v>
      </c>
      <c r="E7" s="129">
        <v>-196959</v>
      </c>
      <c r="F7" s="11"/>
      <c r="G7" s="11"/>
      <c r="H7" s="24">
        <f t="shared" si="0"/>
        <v>-16527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>
        <v>18</v>
      </c>
      <c r="C8" s="129"/>
      <c r="D8" s="11">
        <v>-243538</v>
      </c>
      <c r="E8" s="129">
        <v>-220649</v>
      </c>
      <c r="F8" s="11"/>
      <c r="G8" s="11"/>
      <c r="H8" s="24">
        <f t="shared" si="0"/>
        <v>22871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-243566</v>
      </c>
      <c r="E9" s="11">
        <v>-242435</v>
      </c>
      <c r="F9" s="11"/>
      <c r="G9" s="11"/>
      <c r="H9" s="24">
        <f t="shared" si="0"/>
        <v>1131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-206367</v>
      </c>
      <c r="E10" s="11">
        <v>-201948</v>
      </c>
      <c r="F10" s="11"/>
      <c r="G10" s="11"/>
      <c r="H10" s="24">
        <f t="shared" si="0"/>
        <v>4419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>
        <v>54</v>
      </c>
      <c r="C11" s="11"/>
      <c r="D11" s="11">
        <v>-195278</v>
      </c>
      <c r="E11" s="11">
        <v>-197255</v>
      </c>
      <c r="F11" s="11"/>
      <c r="G11" s="11"/>
      <c r="H11" s="24">
        <f t="shared" si="0"/>
        <v>-2031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-205993</v>
      </c>
      <c r="E12" s="11">
        <v>-203491</v>
      </c>
      <c r="F12" s="11"/>
      <c r="G12" s="11"/>
      <c r="H12" s="24">
        <f t="shared" si="0"/>
        <v>2502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-206164</v>
      </c>
      <c r="E13" s="11">
        <v>-203264</v>
      </c>
      <c r="F13" s="11"/>
      <c r="G13" s="11"/>
      <c r="H13" s="24">
        <f t="shared" si="0"/>
        <v>2900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-200102</v>
      </c>
      <c r="E14" s="11">
        <v>-191383</v>
      </c>
      <c r="F14" s="11"/>
      <c r="G14" s="11"/>
      <c r="H14" s="24">
        <f t="shared" si="0"/>
        <v>8719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103</v>
      </c>
      <c r="C36" s="11">
        <f t="shared" si="15"/>
        <v>0</v>
      </c>
      <c r="D36" s="11">
        <f t="shared" si="15"/>
        <v>-2067359</v>
      </c>
      <c r="E36" s="11">
        <f t="shared" si="15"/>
        <v>-2044581</v>
      </c>
      <c r="F36" s="11">
        <f t="shared" si="15"/>
        <v>0</v>
      </c>
      <c r="G36" s="11">
        <f t="shared" si="15"/>
        <v>0</v>
      </c>
      <c r="H36" s="11">
        <f t="shared" si="15"/>
        <v>22675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-103</v>
      </c>
      <c r="E37" s="25">
        <f>+E36-D36</f>
        <v>22778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37225</v>
      </c>
      <c r="B38" s="2" t="s">
        <v>46</v>
      </c>
      <c r="C38" s="551">
        <v>64269</v>
      </c>
      <c r="D38" s="331"/>
      <c r="E38" s="554">
        <v>-53414</v>
      </c>
      <c r="F38" s="24"/>
      <c r="G38" s="24"/>
      <c r="H38" s="238">
        <f>+C38+E38+G38</f>
        <v>10855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37235</v>
      </c>
      <c r="B39" s="2" t="s">
        <v>46</v>
      </c>
      <c r="C39" s="131">
        <f>+C38+C37</f>
        <v>64166</v>
      </c>
      <c r="D39" s="257"/>
      <c r="E39" s="131">
        <f>+E38+E37</f>
        <v>-30636</v>
      </c>
      <c r="F39" s="257"/>
      <c r="G39" s="131"/>
      <c r="H39" s="131">
        <f>+H38+H36</f>
        <v>33530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8"/>
      <c r="E40" s="248"/>
      <c r="F40" s="252"/>
      <c r="G40" s="248"/>
      <c r="H40" s="335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64"/>
      <c r="E41" s="356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4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153</v>
      </c>
      <c r="B43" s="32"/>
      <c r="C43" s="32"/>
      <c r="D43" s="47"/>
      <c r="E43" s="27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37225</v>
      </c>
      <c r="B44" s="32"/>
      <c r="C44" s="552">
        <v>-1582961.01</v>
      </c>
      <c r="D44" s="207"/>
      <c r="E44" s="553">
        <v>969783.3</v>
      </c>
      <c r="F44" s="47">
        <f>+E44+C44</f>
        <v>-613177.71</v>
      </c>
      <c r="G44" s="250"/>
      <c r="H44" s="39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37235</v>
      </c>
      <c r="B45" s="32"/>
      <c r="C45" s="47">
        <f>+C37*summary!H4</f>
        <v>-208.06</v>
      </c>
      <c r="D45" s="207"/>
      <c r="E45" s="392">
        <f>+E37*summary!H3</f>
        <v>45328.22</v>
      </c>
      <c r="F45" s="47">
        <f>+E45+C45</f>
        <v>45120.160000000003</v>
      </c>
      <c r="G45" s="250"/>
      <c r="H45" s="39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-1583169.07</v>
      </c>
      <c r="D46" s="207"/>
      <c r="E46" s="392">
        <v>925707</v>
      </c>
      <c r="F46" s="47">
        <f>+E46+C46</f>
        <v>-657462.07000000007</v>
      </c>
      <c r="G46" s="250"/>
      <c r="H46" s="39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92"/>
      <c r="D47" s="392"/>
      <c r="E47" s="392"/>
      <c r="F47" s="47"/>
      <c r="G47" s="250"/>
      <c r="H47" s="39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1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1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28</vt:i4>
      </vt:variant>
    </vt:vector>
  </HeadingPairs>
  <TitlesOfParts>
    <vt:vector size="72" baseType="lpstr">
      <vt:lpstr>by type_area</vt:lpstr>
      <vt:lpstr>summary</vt:lpstr>
      <vt:lpstr>volvalue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volvalue!Print_Area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2001-12-13T17:16:50Z</cp:lastPrinted>
  <dcterms:created xsi:type="dcterms:W3CDTF">2000-03-28T16:52:23Z</dcterms:created>
  <dcterms:modified xsi:type="dcterms:W3CDTF">2023-09-10T12:01:51Z</dcterms:modified>
</cp:coreProperties>
</file>