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K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<sst xmlns="http://schemas.openxmlformats.org/spreadsheetml/2006/main" count="1038" uniqueCount="335">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</sst>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F2" s="388" t="s">
        <v>78</v>
      </c>
      <c r="G2" s="391"/>
      <c r="H2" s="32"/>
    </row>
    <row r="3" spans="1:32" ht="12.9" customHeight="1" x14ac:dyDescent="0.25">
      <c r="D3" s="7"/>
      <c r="F3" s="389" t="s">
        <v>29</v>
      </c>
      <c r="G3" s="392">
        <f>+summary!G3</f>
        <v>2.11</v>
      </c>
      <c r="H3" s="407">
        <f ca="1">NOW()</f>
        <v>37278.591974537034</v>
      </c>
    </row>
    <row r="4" spans="1:32" ht="12.9" customHeight="1" x14ac:dyDescent="0.25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" customHeight="1" x14ac:dyDescent="0.25">
      <c r="D5" s="7"/>
      <c r="F5" s="389" t="s">
        <v>117</v>
      </c>
      <c r="G5" s="392">
        <f>+summary!G5</f>
        <v>2.15</v>
      </c>
      <c r="H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56977.709999999992</v>
      </c>
      <c r="C12" s="374">
        <f>+B12/$G$4</f>
        <v>26625.098130841117</v>
      </c>
      <c r="D12" s="14">
        <f>+Calpine!D47</f>
        <v>116137</v>
      </c>
      <c r="E12" s="70">
        <f>+C12-D12</f>
        <v>-89511.901869158886</v>
      </c>
      <c r="F12" s="369">
        <f>+Calpine!A41</f>
        <v>37276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-826582.77</v>
      </c>
      <c r="C17" s="398">
        <f>SUBTOTAL(9,C12:C16)</f>
        <v>-386253.63084112148</v>
      </c>
      <c r="D17" s="399">
        <f>SUBTOTAL(9,D12:D16)</f>
        <v>56678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+C21*G3</f>
        <v>75122.33</v>
      </c>
      <c r="C21" s="373">
        <f>+williams!J40</f>
        <v>35603</v>
      </c>
      <c r="D21" s="14">
        <f>+C21</f>
        <v>35603</v>
      </c>
      <c r="E21" s="70">
        <f>+C21-D21</f>
        <v>0</v>
      </c>
      <c r="F21" s="370">
        <f>+williams!A40</f>
        <v>37276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-12006.229999999996</v>
      </c>
      <c r="C22" s="377">
        <f>+B22/$G$3</f>
        <v>-5690.1563981042636</v>
      </c>
      <c r="D22" s="355">
        <f>+burlington!D49</f>
        <v>-7836</v>
      </c>
      <c r="E22" s="72">
        <f>+C22-D22</f>
        <v>2145.8436018957364</v>
      </c>
      <c r="F22" s="369">
        <f>+burlington!A42</f>
        <v>37276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78712.680000000008</v>
      </c>
      <c r="C23" s="394">
        <f>SUBTOTAL(9,C20:C22)</f>
        <v>37200.965097222841</v>
      </c>
      <c r="D23" s="399">
        <f>SUBTOTAL(9,D20:D22)</f>
        <v>-20718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449585.45</v>
      </c>
      <c r="C27" s="373">
        <f>+B27/$G$4</f>
        <v>210086.65887850468</v>
      </c>
      <c r="D27" s="14">
        <f>+Conoco!D48</f>
        <v>12901</v>
      </c>
      <c r="E27" s="70">
        <f t="shared" si="0"/>
        <v>197185.65887850468</v>
      </c>
      <c r="F27" s="369">
        <f>+Conoco!A41</f>
        <v>37276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805098.34</v>
      </c>
      <c r="C35" s="373">
        <f>+B35/$G$4</f>
        <v>376214.17757009342</v>
      </c>
      <c r="D35" s="14">
        <f>+PNM!D30</f>
        <v>325165</v>
      </c>
      <c r="E35" s="70">
        <f t="shared" si="0"/>
        <v>51049.177570093423</v>
      </c>
      <c r="F35" s="370">
        <f>+PNM!A23</f>
        <v>37276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-7953.1100000000042</v>
      </c>
      <c r="C37" s="373">
        <f>+B37/G5</f>
        <v>-3699.1209302325601</v>
      </c>
      <c r="D37" s="14">
        <f>+Oasis!D47</f>
        <v>-6317</v>
      </c>
      <c r="E37" s="70">
        <f>+C37-D37</f>
        <v>2617.8790697674399</v>
      </c>
      <c r="F37" s="369">
        <f>+Oasis!A40</f>
        <v>37276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51">
        <f>+EPFS!D41</f>
        <v>70857.079999999987</v>
      </c>
      <c r="C49" s="374">
        <f>+B49/$G$5</f>
        <v>32956.781395348829</v>
      </c>
      <c r="D49" s="14">
        <f>+EPFS!D47</f>
        <v>48002</v>
      </c>
      <c r="E49" s="70">
        <f t="shared" si="0"/>
        <v>-15045.218604651171</v>
      </c>
      <c r="F49" s="369">
        <f>+EPFS!A41</f>
        <v>37276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93">
        <f>SUBTOTAL(9,B26:B50)</f>
        <v>2318567.5999999992</v>
      </c>
      <c r="C51" s="398">
        <f>SUBTOTAL(9,C26:C50)</f>
        <v>1083051.2747228856</v>
      </c>
      <c r="D51" s="399">
        <f>SUBTOTAL(9,D26:D50)</f>
        <v>421762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93">
        <f>SUBTOTAL(9,B12:B50)</f>
        <v>1570697.5099999998</v>
      </c>
      <c r="C53" s="398">
        <f>SUBTOTAL(9,C12:C50)</f>
        <v>733998.60897898732</v>
      </c>
      <c r="D53" s="399">
        <f>SUBTOTAL(9,D12:D50)</f>
        <v>457722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5">
      <c r="D59" s="7"/>
      <c r="F59" s="389" t="s">
        <v>29</v>
      </c>
      <c r="G59" s="392">
        <f>+G3</f>
        <v>2.11</v>
      </c>
      <c r="H59" s="407">
        <f ca="1">NOW()</f>
        <v>37278.591974537034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5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5"/>
    <row r="63" spans="1:19" ht="13.5" customHeight="1" outlineLevel="2" x14ac:dyDescent="0.25">
      <c r="A63" s="405" t="s">
        <v>164</v>
      </c>
      <c r="B63" s="406"/>
      <c r="E63" s="12" t="s">
        <v>197</v>
      </c>
    </row>
    <row r="64" spans="1:19" ht="13.5" customHeight="1" outlineLevel="2" x14ac:dyDescent="0.25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71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74">
        <f>+SoCal!F40</f>
        <v>66258</v>
      </c>
      <c r="C69" s="351">
        <f>+B69*$G$4</f>
        <v>141792.12</v>
      </c>
      <c r="D69" s="47">
        <f>+SoCal!D47</f>
        <v>250250.32</v>
      </c>
      <c r="E69" s="47">
        <f>+C69-D69</f>
        <v>-108458.20000000001</v>
      </c>
      <c r="F69" s="370">
        <f>+SoCal!A40</f>
        <v>37276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5">
        <f>+'PG&amp;E'!D40</f>
        <v>25681</v>
      </c>
      <c r="C71" s="354">
        <f>+B71*$G$4</f>
        <v>54957.340000000004</v>
      </c>
      <c r="D71" s="354">
        <f>+'PG&amp;E'!D47</f>
        <v>-151997.75</v>
      </c>
      <c r="E71" s="354">
        <f>+C71-D71</f>
        <v>206955.09</v>
      </c>
      <c r="F71" s="370">
        <f>+'PG&amp;E'!A40</f>
        <v>37276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8">
        <f>SUBTOTAL(9,B68:B71)</f>
        <v>352503</v>
      </c>
      <c r="C72" s="393">
        <f>SUBTOTAL(9,C68:C71)</f>
        <v>754356.42</v>
      </c>
      <c r="D72" s="393">
        <f>SUBTOTAL(9,D68:D71)</f>
        <v>-1264625.3599999999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71" t="s">
        <v>57</v>
      </c>
      <c r="B74" s="286"/>
      <c r="C74" s="247"/>
      <c r="G74" s="203"/>
    </row>
    <row r="75" spans="1:19" x14ac:dyDescent="0.25">
      <c r="A75" s="248" t="s">
        <v>23</v>
      </c>
      <c r="B75" s="373">
        <f>+'Red C'!F45</f>
        <v>20434</v>
      </c>
      <c r="C75" s="352">
        <f>+B75*G59</f>
        <v>43115.74</v>
      </c>
      <c r="D75" s="200">
        <f>+'Red C'!D52</f>
        <v>413900.11000000004</v>
      </c>
      <c r="E75" s="47">
        <f>+C75-D75</f>
        <v>-370784.37000000005</v>
      </c>
      <c r="F75" s="369">
        <f>+'Red C'!A45</f>
        <v>37276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8">
        <f>SUBTOTAL(9,B75:B78)</f>
        <v>-54306</v>
      </c>
      <c r="C79" s="393">
        <f>SUBTOTAL(9,C75:C78)</f>
        <v>-114585.65999999999</v>
      </c>
      <c r="D79" s="393">
        <f>SUBTOTAL(9,D75:D78)</f>
        <v>-406536.50999999989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71" t="s">
        <v>159</v>
      </c>
      <c r="B81" s="286"/>
      <c r="C81" s="247"/>
      <c r="G81" s="203"/>
    </row>
    <row r="82" spans="1:12" x14ac:dyDescent="0.25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73">
        <f>+PEPL!D41</f>
        <v>-23098</v>
      </c>
      <c r="C83" s="487">
        <f>+B83*$G$4</f>
        <v>-49429.72</v>
      </c>
      <c r="D83" s="47">
        <f>+PEPL!D47</f>
        <v>144439.38</v>
      </c>
      <c r="E83" s="47">
        <f>+C83-D83</f>
        <v>-193869.1</v>
      </c>
      <c r="F83" s="370">
        <f>+PEPL!A41</f>
        <v>37276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7">
        <f>+Lonestar!F43</f>
        <v>33252.899999999994</v>
      </c>
      <c r="C85" s="505">
        <f>+B85*G61</f>
        <v>71493.734999999986</v>
      </c>
      <c r="D85" s="354">
        <f>+Lonestar!D50</f>
        <v>30909.24</v>
      </c>
      <c r="E85" s="354">
        <f>+C85-D85</f>
        <v>40584.494999999981</v>
      </c>
      <c r="F85" s="369">
        <f>+Lonestar!A43</f>
        <v>37276</v>
      </c>
      <c r="G85" s="32" t="s">
        <v>328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94">
        <f>SUBTOTAL(9,B82:B85)</f>
        <v>162567.9</v>
      </c>
      <c r="C86" s="393">
        <f>SUBTOTAL(9,C82:C85)</f>
        <v>349576.09499999997</v>
      </c>
      <c r="D86" s="393">
        <f>SUBTOTAL(9,D82:D85)</f>
        <v>899608.78</v>
      </c>
      <c r="E86" s="393">
        <f>SUBTOTAL(9,E82:E85)</f>
        <v>-550032.68500000006</v>
      </c>
      <c r="F86" s="369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94">
        <f>SUBTOTAL(9,B68:B85)</f>
        <v>460764.9</v>
      </c>
      <c r="C88" s="393">
        <f>SUBTOTAL(9,C68:C85)</f>
        <v>989346.85499999998</v>
      </c>
      <c r="D88" s="393">
        <f>SUBTOTAL(9,D68:D85)</f>
        <v>-771553.08999999985</v>
      </c>
      <c r="E88" s="393">
        <f>SUBTOTAL(9,E68:E85)</f>
        <v>1760899.9449999996</v>
      </c>
      <c r="F88" s="369"/>
      <c r="H88" s="32"/>
      <c r="I88" s="32"/>
      <c r="J88" s="32"/>
      <c r="K88" s="32"/>
    </row>
    <row r="89" spans="1:12" x14ac:dyDescent="0.25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5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401">
        <f>+C88+B53</f>
        <v>2560044.3649999998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1194763.5089789873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5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4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5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-868641</v>
      </c>
      <c r="C36" s="24">
        <f>SUM(C5:C35)</f>
        <v>-856879</v>
      </c>
      <c r="D36" s="24">
        <f t="shared" si="0"/>
        <v>11762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25288.3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37276</v>
      </c>
      <c r="B40"/>
      <c r="C40" s="48"/>
      <c r="D40" s="138">
        <f>+D39+D38</f>
        <v>-7953.1100000000042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37276</v>
      </c>
      <c r="B46" s="32"/>
      <c r="C46" s="32"/>
      <c r="D46" s="355">
        <f>+D36</f>
        <v>11762</v>
      </c>
    </row>
    <row r="47" spans="1:65" x14ac:dyDescent="0.25">
      <c r="A47" s="32"/>
      <c r="B47" s="32"/>
      <c r="C47" s="32"/>
      <c r="D47" s="14">
        <f>+D46+D45</f>
        <v>-6317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5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5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5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5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5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5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5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5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5">
      <c r="A18" s="87"/>
      <c r="B18" s="88"/>
      <c r="C18" s="88"/>
      <c r="D18" s="88">
        <f>SUM(D5:D17)</f>
        <v>-97761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5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37276</v>
      </c>
      <c r="B30" s="32"/>
      <c r="C30" s="32"/>
      <c r="D30" s="355">
        <f>+D18</f>
        <v>-97761</v>
      </c>
    </row>
    <row r="31" spans="1:6" x14ac:dyDescent="0.25">
      <c r="A31" s="32"/>
      <c r="B31" s="32"/>
      <c r="C31" s="32"/>
      <c r="D31" s="14">
        <f>+D30+D29</f>
        <v>-66055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51" sqref="C5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639521</v>
      </c>
      <c r="C35" s="11">
        <f>SUM(C4:C34)</f>
        <v>650194</v>
      </c>
      <c r="D35" s="11">
        <f>SUM(D4:D34)</f>
        <v>648361</v>
      </c>
      <c r="E35" s="11">
        <f>SUM(E4:E34)</f>
        <v>632622</v>
      </c>
      <c r="F35" s="11">
        <f>+E35-D35+C35-B35</f>
        <v>-5066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-10841.24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37276</v>
      </c>
      <c r="C41" s="106"/>
      <c r="D41" s="106"/>
      <c r="E41" s="106"/>
      <c r="F41" s="106">
        <f>+F38+F40</f>
        <v>449585.45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37276</v>
      </c>
      <c r="D47" s="355">
        <f>+F35</f>
        <v>-5066</v>
      </c>
      <c r="E47" s="11"/>
      <c r="F47" s="11"/>
      <c r="G47" s="25"/>
    </row>
    <row r="48" spans="1:7" x14ac:dyDescent="0.2">
      <c r="D48" s="14">
        <f>+D47+D46</f>
        <v>12901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5">
      <c r="A40" s="26"/>
      <c r="D40" s="75">
        <f>+summary!G4</f>
        <v>2.14</v>
      </c>
      <c r="E40" s="26"/>
      <c r="H40" s="75"/>
    </row>
    <row r="41" spans="1:8" x14ac:dyDescent="0.25">
      <c r="D41" s="195">
        <f>+D40*D39</f>
        <v>2775.5800000000004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37276</v>
      </c>
      <c r="D43" s="196">
        <f>+D42+D41</f>
        <v>15596.58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37276</v>
      </c>
      <c r="B49" s="32"/>
      <c r="C49" s="32"/>
      <c r="D49" s="355">
        <f>+D39</f>
        <v>1297</v>
      </c>
    </row>
    <row r="50" spans="1:4" x14ac:dyDescent="0.25">
      <c r="A50" s="32"/>
      <c r="B50" s="32"/>
      <c r="C50" s="32"/>
      <c r="D50" s="14">
        <f>+D49+D48</f>
        <v>-48485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37276</v>
      </c>
      <c r="I7" s="3" t="s">
        <v>259</v>
      </c>
      <c r="J7" s="15"/>
    </row>
    <row r="8" spans="1:14" x14ac:dyDescent="0.25">
      <c r="A8" s="248">
        <v>50895</v>
      </c>
      <c r="B8" s="343">
        <f>4600-4355</f>
        <v>245</v>
      </c>
      <c r="J8" s="15"/>
    </row>
    <row r="9" spans="1:14" x14ac:dyDescent="0.25">
      <c r="A9" s="248">
        <v>60874</v>
      </c>
      <c r="B9" s="343">
        <v>2435</v>
      </c>
      <c r="J9" s="15"/>
    </row>
    <row r="10" spans="1:14" x14ac:dyDescent="0.25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+summary!G4</f>
        <v>2.14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5">
      <c r="G41" s="32"/>
      <c r="H41" s="15"/>
      <c r="I41" s="32"/>
    </row>
    <row r="42" spans="1:9" x14ac:dyDescent="0.25">
      <c r="A42" s="245">
        <v>37276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1993</v>
      </c>
      <c r="G44" s="32"/>
      <c r="H44" s="386"/>
      <c r="I44" s="14"/>
    </row>
    <row r="45" spans="1:9" x14ac:dyDescent="0.25">
      <c r="A45" s="32">
        <v>500392</v>
      </c>
      <c r="B45" s="250">
        <v>1457</v>
      </c>
      <c r="G45" s="32"/>
      <c r="H45" s="386"/>
      <c r="I45" s="14"/>
    </row>
    <row r="46" spans="1:9" x14ac:dyDescent="0.25">
      <c r="B46" s="14">
        <f>SUM(B43:B45)</f>
        <v>3450</v>
      </c>
      <c r="G46" s="32"/>
      <c r="H46" s="386"/>
      <c r="I46" s="14"/>
    </row>
    <row r="47" spans="1:9" x14ac:dyDescent="0.25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5">
      <c r="C48" s="324">
        <f>+C47+C40</f>
        <v>849794.29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2750313.2</v>
      </c>
      <c r="I57" s="14">
        <f>SUM(I40:I54)</f>
        <v>740726</v>
      </c>
    </row>
    <row r="61" spans="1:9" x14ac:dyDescent="0.25">
      <c r="C61" s="15">
        <f>+DEFS!F49</f>
        <v>-2797825.4800000004</v>
      </c>
    </row>
    <row r="62" spans="1:9" x14ac:dyDescent="0.25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5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5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5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5">
      <c r="F53" s="104">
        <f>+F51+F49</f>
        <v>-47512.280000000261</v>
      </c>
      <c r="M53" s="16">
        <f>+M51+K49</f>
        <v>306353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-139629</v>
      </c>
      <c r="C74" s="247">
        <f>+E40</f>
        <v>-595569.14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190426</v>
      </c>
      <c r="C77" s="259">
        <f>+Duke!C48</f>
        <v>849794.29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377110</v>
      </c>
      <c r="C79" s="259">
        <f>+Duke!C20</f>
        <v>1528147.76</v>
      </c>
    </row>
    <row r="81" spans="2:3" x14ac:dyDescent="0.25">
      <c r="B81" s="31">
        <f>SUM(B68:B80)</f>
        <v>306353</v>
      </c>
      <c r="C81" s="259">
        <f>SUM(C68:C80)</f>
        <v>-47512.280000000261</v>
      </c>
    </row>
    <row r="82" spans="2:3" x14ac:dyDescent="0.25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-27749.38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5">
      <c r="A49" s="32"/>
      <c r="B49" s="32"/>
      <c r="C49" s="32"/>
      <c r="D49" s="14">
        <f>+D48+D47</f>
        <v>154001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17" sqref="D17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17.100000000000001" customHeight="1" x14ac:dyDescent="0.25">
      <c r="A2" s="34" t="s">
        <v>140</v>
      </c>
      <c r="F2" s="368" t="s">
        <v>78</v>
      </c>
      <c r="G2" s="350"/>
    </row>
    <row r="3" spans="1:33" ht="15" customHeight="1" x14ac:dyDescent="0.25">
      <c r="F3" s="289" t="s">
        <v>29</v>
      </c>
      <c r="G3" s="349">
        <f>+'[3]1001'!$K$39</f>
        <v>2.11</v>
      </c>
      <c r="J3" s="379">
        <f ca="1">NOW()</f>
        <v>37278.591974537034</v>
      </c>
    </row>
    <row r="4" spans="1:33" ht="15" customHeight="1" x14ac:dyDescent="0.25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5">
      <c r="B5" s="348"/>
      <c r="F5" s="289" t="s">
        <v>117</v>
      </c>
      <c r="G5" s="349">
        <f>+'[3]1001'!$E$39</f>
        <v>2.15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805098.34</v>
      </c>
      <c r="C10" s="275">
        <f>+B10/$G$4</f>
        <v>376214.17757009342</v>
      </c>
      <c r="D10" s="370">
        <f>+PNM!A23</f>
        <v>37276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449585.45</v>
      </c>
      <c r="C11" s="275">
        <f>+B11/$G$4</f>
        <v>210086.65887850468</v>
      </c>
      <c r="D11" s="369">
        <f>+Conoco!A41</f>
        <v>37276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514" t="s">
        <v>32</v>
      </c>
      <c r="B19" s="486">
        <f>+C19*$G$4</f>
        <v>141792.12</v>
      </c>
      <c r="C19" s="206">
        <f>+SoCal!F40</f>
        <v>66258</v>
      </c>
      <c r="D19" s="369">
        <f>+SoCal!A40</f>
        <v>37276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514" t="s">
        <v>28</v>
      </c>
      <c r="B22" s="351">
        <f>+C22*$G$3</f>
        <v>75122.33</v>
      </c>
      <c r="C22" s="275">
        <f>+williams!J40</f>
        <v>35603</v>
      </c>
      <c r="D22" s="369">
        <f>+williams!A40</f>
        <v>37276</v>
      </c>
      <c r="E22" s="204" t="s">
        <v>85</v>
      </c>
      <c r="F22" s="204" t="s">
        <v>154</v>
      </c>
      <c r="G22" s="204" t="s">
        <v>317</v>
      </c>
      <c r="H22" s="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48" t="s">
        <v>31</v>
      </c>
      <c r="B23" s="351">
        <f>+C23*$G$5</f>
        <v>71493.734999999986</v>
      </c>
      <c r="C23" s="275">
        <f>+Lonestar!F43</f>
        <v>33252.899999999994</v>
      </c>
      <c r="D23" s="369">
        <f>+Lonestar!A43</f>
        <v>37276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48" t="s">
        <v>129</v>
      </c>
      <c r="B24" s="486">
        <f>+EPFS!D41</f>
        <v>70857.079999999987</v>
      </c>
      <c r="C24" s="206">
        <f>+B24/$G$5</f>
        <v>32956.781395348829</v>
      </c>
      <c r="D24" s="369">
        <f>+EPFS!A41</f>
        <v>37276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514" t="s">
        <v>127</v>
      </c>
      <c r="B26" s="486">
        <f>+Calpine!D41</f>
        <v>56977.709999999992</v>
      </c>
      <c r="C26" s="206">
        <f>+B26/$G$4</f>
        <v>26625.098130841117</v>
      </c>
      <c r="D26" s="369">
        <f>+Calpine!A41</f>
        <v>37276</v>
      </c>
      <c r="E26" s="204" t="s">
        <v>85</v>
      </c>
      <c r="F26" s="204" t="s">
        <v>153</v>
      </c>
      <c r="G26" s="204" t="s">
        <v>99</v>
      </c>
      <c r="H26" s="204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" customHeight="1" x14ac:dyDescent="0.25">
      <c r="A27" s="248" t="s">
        <v>114</v>
      </c>
      <c r="B27" s="486">
        <f>+C27*$G$4</f>
        <v>54957.340000000004</v>
      </c>
      <c r="C27" s="206">
        <f>+'PG&amp;E'!D40</f>
        <v>25681</v>
      </c>
      <c r="D27" s="370">
        <f>+'PG&amp;E'!A40</f>
        <v>37276</v>
      </c>
      <c r="E27" s="32" t="s">
        <v>84</v>
      </c>
      <c r="F27" s="32" t="s">
        <v>154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32" t="s">
        <v>103</v>
      </c>
      <c r="B28" s="351">
        <f>+EOG!$J$41</f>
        <v>47545.93</v>
      </c>
      <c r="C28" s="275">
        <f>+B28/$G$4</f>
        <v>22217.724299065419</v>
      </c>
      <c r="D28" s="369">
        <f>+EOG!A41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248" t="s">
        <v>23</v>
      </c>
      <c r="B29" s="351">
        <f>+C29*$G$3</f>
        <v>43115.74</v>
      </c>
      <c r="C29" s="353">
        <f>+'Red C'!$F$45</f>
        <v>20434</v>
      </c>
      <c r="D29" s="369">
        <f>+'Red C'!A45</f>
        <v>37276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5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5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5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" customHeight="1" x14ac:dyDescent="0.25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5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6911919.8050000016</v>
      </c>
      <c r="C38" s="69">
        <f>SUM(C8:C37)</f>
        <v>3222274.3043686152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5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5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514" t="s">
        <v>142</v>
      </c>
      <c r="B48" s="352">
        <f>+C48*$G$4</f>
        <v>-49429.72</v>
      </c>
      <c r="C48" s="353">
        <f>+PEPL!D41</f>
        <v>-23098</v>
      </c>
      <c r="D48" s="369">
        <f>+PEPL!A41</f>
        <v>37276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5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514" t="s">
        <v>95</v>
      </c>
      <c r="B52" s="351">
        <f>+burlington!D42</f>
        <v>-12006.229999999996</v>
      </c>
      <c r="C52" s="275">
        <f>+B52/$G$3</f>
        <v>-5690.1563981042636</v>
      </c>
      <c r="D52" s="369">
        <f>+burlington!A42</f>
        <v>37276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5">
      <c r="A53" s="248" t="s">
        <v>6</v>
      </c>
      <c r="B53" s="486">
        <f>+Oasis!$D$40</f>
        <v>-7953.1100000000042</v>
      </c>
      <c r="C53" s="206">
        <f>+B53/$G$5</f>
        <v>-3699.1209302325601</v>
      </c>
      <c r="D53" s="370">
        <f>+Oasis!A40</f>
        <v>37276</v>
      </c>
      <c r="E53" s="32" t="s">
        <v>85</v>
      </c>
      <c r="F53" s="32" t="s">
        <v>154</v>
      </c>
      <c r="G53" s="32" t="s">
        <v>102</v>
      </c>
      <c r="H53" s="32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5">
      <c r="A54" s="514" t="s">
        <v>139</v>
      </c>
      <c r="B54" s="505">
        <f>+'Citizens-Griffith'!D41</f>
        <v>-4525.2799999999988</v>
      </c>
      <c r="C54" s="71">
        <f>+B54/$G$4</f>
        <v>-2114.6168224299058</v>
      </c>
      <c r="D54" s="369">
        <f>+'Citizens-Griffith'!A41</f>
        <v>37276</v>
      </c>
      <c r="E54" s="204" t="s">
        <v>85</v>
      </c>
      <c r="F54" s="204" t="s">
        <v>328</v>
      </c>
      <c r="G54" s="204" t="s">
        <v>99</v>
      </c>
      <c r="H54" s="204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51">
        <f>SUM(B41:B54)</f>
        <v>-4351875.4400000013</v>
      </c>
      <c r="C55" s="206">
        <f>SUM(C41:C54)</f>
        <v>-2027510.7953896283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9">
        <f>+B55+B38</f>
        <v>2560044.3650000002</v>
      </c>
      <c r="C57" s="360">
        <f>+C55+C38</f>
        <v>1194763.5089789869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-71599</v>
      </c>
      <c r="C5" s="90">
        <v>-39388</v>
      </c>
      <c r="D5" s="90">
        <f t="shared" ref="D5:D13" si="0">+C5-B5</f>
        <v>32211</v>
      </c>
      <c r="E5" s="69"/>
      <c r="F5" s="201"/>
    </row>
    <row r="6" spans="1:13" x14ac:dyDescent="0.25">
      <c r="A6" s="87">
        <v>9238</v>
      </c>
      <c r="B6" s="90">
        <v>-9232</v>
      </c>
      <c r="C6" s="90">
        <v>-20000</v>
      </c>
      <c r="D6" s="90">
        <f t="shared" si="0"/>
        <v>-10768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-2025983</v>
      </c>
      <c r="C7" s="90">
        <v>-2010790</v>
      </c>
      <c r="D7" s="90">
        <f t="shared" si="0"/>
        <v>15193</v>
      </c>
      <c r="E7" s="275"/>
      <c r="F7" s="201"/>
    </row>
    <row r="8" spans="1:13" x14ac:dyDescent="0.25">
      <c r="A8" s="87">
        <v>58710</v>
      </c>
      <c r="B8" s="90">
        <v>-143514</v>
      </c>
      <c r="C8" s="90">
        <v>-140830</v>
      </c>
      <c r="D8" s="90">
        <f t="shared" si="0"/>
        <v>2684</v>
      </c>
      <c r="E8" s="275"/>
      <c r="F8" s="201"/>
    </row>
    <row r="9" spans="1:13" x14ac:dyDescent="0.25">
      <c r="A9" s="87">
        <v>60921</v>
      </c>
      <c r="B9" s="90">
        <v>-815212</v>
      </c>
      <c r="C9" s="90">
        <v>-814145</v>
      </c>
      <c r="D9" s="90">
        <f t="shared" si="0"/>
        <v>1067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v>-46706</v>
      </c>
      <c r="C11" s="90">
        <v>-60000</v>
      </c>
      <c r="D11" s="90">
        <f t="shared" si="0"/>
        <v>-13294</v>
      </c>
      <c r="E11" s="276"/>
      <c r="F11" s="472"/>
    </row>
    <row r="12" spans="1:13" x14ac:dyDescent="0.25">
      <c r="A12" s="320">
        <v>500085</v>
      </c>
      <c r="B12" s="90">
        <v>-3022</v>
      </c>
      <c r="C12" s="90"/>
      <c r="D12" s="90">
        <f t="shared" si="0"/>
        <v>3022</v>
      </c>
      <c r="E12" s="275"/>
      <c r="F12" s="472"/>
    </row>
    <row r="13" spans="1:13" x14ac:dyDescent="0.25">
      <c r="A13" s="87">
        <v>500097</v>
      </c>
      <c r="B13" s="90">
        <v>-67728</v>
      </c>
      <c r="C13" s="90">
        <v>-80000</v>
      </c>
      <c r="D13" s="90">
        <f t="shared" si="0"/>
        <v>-12272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17843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5">
      <c r="A19" s="87"/>
      <c r="B19" s="88"/>
      <c r="C19" s="88"/>
      <c r="D19" s="96">
        <f>+D18*D17</f>
        <v>38184.020000000004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37276</v>
      </c>
      <c r="B23" s="88"/>
      <c r="C23" s="88"/>
      <c r="D23" s="321">
        <f>+D21+D19</f>
        <v>805098.34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37276</v>
      </c>
      <c r="B29" s="32"/>
      <c r="C29" s="32"/>
      <c r="D29" s="355">
        <f>+D17</f>
        <v>17843</v>
      </c>
    </row>
    <row r="30" spans="1:7" x14ac:dyDescent="0.25">
      <c r="A30" s="32"/>
      <c r="B30" s="32"/>
      <c r="C30" s="32"/>
      <c r="D30" s="14">
        <f>+D29+D28</f>
        <v>325165</v>
      </c>
      <c r="E30" s="348"/>
    </row>
    <row r="31" spans="1:7" x14ac:dyDescent="0.25">
      <c r="A31" s="139"/>
      <c r="B31" s="119"/>
      <c r="C31" s="140"/>
      <c r="D31" s="563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37276</v>
      </c>
      <c r="D40" s="51">
        <f>+D38+D35</f>
        <v>196295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5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5">
      <c r="A40" s="26"/>
      <c r="C40" s="14"/>
      <c r="F40" s="253">
        <f>+summary!G4</f>
        <v>2.14</v>
      </c>
    </row>
    <row r="41" spans="1:6" x14ac:dyDescent="0.25">
      <c r="F41" s="138">
        <f>+F40*F39</f>
        <v>26108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37276</v>
      </c>
      <c r="C43" s="48"/>
      <c r="F43" s="138">
        <f>+F42+F41</f>
        <v>60370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37276</v>
      </c>
      <c r="B49" s="32"/>
      <c r="C49" s="32"/>
      <c r="D49" s="355">
        <f>+F39</f>
        <v>12200</v>
      </c>
    </row>
    <row r="50" spans="1:4" x14ac:dyDescent="0.25">
      <c r="A50" s="32"/>
      <c r="B50" s="32"/>
      <c r="C50" s="32"/>
      <c r="D50" s="14">
        <f>+D49+D48</f>
        <v>12948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37276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5">
      <c r="A49" s="32"/>
      <c r="B49" s="32"/>
      <c r="C49" s="32"/>
      <c r="D49" s="200">
        <f>+D48+D47</f>
        <v>385972.26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-1576475</v>
      </c>
      <c r="I19" s="119">
        <f>+C37</f>
        <v>-1633484</v>
      </c>
      <c r="J19" s="119">
        <f>+I19-H19</f>
        <v>-57009</v>
      </c>
      <c r="K19" s="417">
        <f>+D38</f>
        <v>2.14</v>
      </c>
      <c r="L19" s="422">
        <f>+K19*J19</f>
        <v>-121999.26000000001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73483</v>
      </c>
      <c r="K24" s="413"/>
      <c r="L24" s="110">
        <f>+L19+L17</f>
        <v>-40314.160000000178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-18838.392523364568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-1576475</v>
      </c>
      <c r="C37" s="11">
        <f>SUM(C6:C36)</f>
        <v>-1633484</v>
      </c>
      <c r="D37" s="25">
        <f>SUM(D6:D36)</f>
        <v>-57009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-121999.26000000001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37276</v>
      </c>
      <c r="C41" s="48"/>
      <c r="D41" s="138">
        <f>+D40+D39</f>
        <v>56977.709999999992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37276</v>
      </c>
      <c r="B46" s="32"/>
      <c r="C46" s="32"/>
      <c r="D46" s="355">
        <f>+D37</f>
        <v>-57009</v>
      </c>
    </row>
    <row r="47" spans="1:4" x14ac:dyDescent="0.25">
      <c r="A47" s="32"/>
      <c r="B47" s="32"/>
      <c r="C47" s="32"/>
      <c r="D47" s="14">
        <f>+D46+D45</f>
        <v>116137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629547</v>
      </c>
      <c r="C37" s="11">
        <f>SUM(C6:C36)</f>
        <v>622968</v>
      </c>
      <c r="D37" s="25">
        <f>SUM(D6:D36)</f>
        <v>-6579</v>
      </c>
    </row>
    <row r="38" spans="1:4" x14ac:dyDescent="0.25">
      <c r="A38" s="26"/>
      <c r="B38" s="31"/>
      <c r="C38" s="14"/>
      <c r="D38" s="329">
        <f>+summary!G5</f>
        <v>2.15</v>
      </c>
    </row>
    <row r="39" spans="1:4" x14ac:dyDescent="0.25">
      <c r="D39" s="138">
        <f>+D38*D37</f>
        <v>-14144.849999999999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37276</v>
      </c>
      <c r="C41" s="48"/>
      <c r="D41" s="138">
        <f>+D40+D39</f>
        <v>70857.079999999987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37276</v>
      </c>
      <c r="B46" s="32"/>
      <c r="C46" s="32"/>
      <c r="D46" s="355">
        <f>+D37</f>
        <v>-6579</v>
      </c>
    </row>
    <row r="47" spans="1:4" x14ac:dyDescent="0.25">
      <c r="A47" s="32"/>
      <c r="B47" s="32"/>
      <c r="C47" s="32"/>
      <c r="D47" s="14">
        <f>+D46+D45</f>
        <v>48002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0" sqref="A4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5920224</v>
      </c>
      <c r="C35" s="11">
        <f t="shared" ref="C35:I35" si="3">SUM(C4:C34)</f>
        <v>5897186</v>
      </c>
      <c r="D35" s="11">
        <f t="shared" si="3"/>
        <v>769023</v>
      </c>
      <c r="E35" s="11">
        <f t="shared" si="3"/>
        <v>789479</v>
      </c>
      <c r="F35" s="11">
        <f t="shared" si="3"/>
        <v>834080</v>
      </c>
      <c r="G35" s="11">
        <f t="shared" si="3"/>
        <v>922501</v>
      </c>
      <c r="H35" s="11">
        <f t="shared" si="3"/>
        <v>2524050</v>
      </c>
      <c r="I35" s="11">
        <f t="shared" si="3"/>
        <v>2473814</v>
      </c>
      <c r="J35" s="11">
        <f>SUM(J4:J34)</f>
        <v>35603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37276</v>
      </c>
      <c r="J40" s="51">
        <f>+J38+J35</f>
        <v>35603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37276</v>
      </c>
      <c r="B47" s="32"/>
      <c r="C47" s="32"/>
      <c r="D47" s="380">
        <f>+J35*'by type_area'!G3</f>
        <v>75122.33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75122.33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-3966.75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37276</v>
      </c>
      <c r="C41" s="48"/>
      <c r="D41" s="138">
        <f>+D40+D39</f>
        <v>36768.800000000003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37276</v>
      </c>
      <c r="B47" s="32"/>
      <c r="C47" s="32"/>
      <c r="D47" s="355">
        <f>+D37</f>
        <v>-1845</v>
      </c>
    </row>
    <row r="48" spans="1:4" x14ac:dyDescent="0.25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51447.740000000005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37276</v>
      </c>
      <c r="C41" s="48"/>
      <c r="D41" s="138">
        <f>+D40+D39</f>
        <v>-304357.26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37276</v>
      </c>
      <c r="B49" s="32"/>
      <c r="C49" s="32"/>
      <c r="D49" s="355">
        <f>+D37</f>
        <v>24041</v>
      </c>
    </row>
    <row r="50" spans="1:4" x14ac:dyDescent="0.25">
      <c r="A50" s="32"/>
      <c r="B50" s="32"/>
      <c r="C50" s="32"/>
      <c r="D50" s="14">
        <f>+D49+D48</f>
        <v>-20580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-72267.8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37276</v>
      </c>
      <c r="C41" s="48"/>
      <c r="D41" s="138">
        <f>+D40+D39</f>
        <v>-4525.2799999999988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37276</v>
      </c>
      <c r="B47" s="32"/>
      <c r="C47" s="32"/>
      <c r="D47" s="355">
        <f>+D37</f>
        <v>-33770</v>
      </c>
    </row>
    <row r="48" spans="1:4" x14ac:dyDescent="0.25">
      <c r="A48" s="32"/>
      <c r="B48" s="32"/>
      <c r="C48" s="32"/>
      <c r="D48" s="14">
        <f>+D47+D46</f>
        <v>2381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5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-5703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5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/>
      <c r="B23" s="32"/>
      <c r="C23" s="32"/>
      <c r="D23" s="355">
        <f>+D12</f>
        <v>-5703</v>
      </c>
    </row>
    <row r="24" spans="1:7" x14ac:dyDescent="0.25">
      <c r="A24" s="49">
        <f>+A18</f>
        <v>37276</v>
      </c>
      <c r="B24" s="32"/>
      <c r="C24" s="32"/>
      <c r="D24" s="14">
        <f>+D23+D22</f>
        <v>-42526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9" sqref="C49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-553634</v>
      </c>
      <c r="C37" s="11">
        <f>SUM(C6:C36)</f>
        <v>-562417</v>
      </c>
      <c r="D37" s="25">
        <f>SUM(D6:D36)</f>
        <v>-8783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-14315</v>
      </c>
    </row>
    <row r="41" spans="1:4" x14ac:dyDescent="0.25">
      <c r="A41" s="57">
        <v>37276</v>
      </c>
      <c r="C41" s="48"/>
      <c r="D41" s="25">
        <f>+D40+D37</f>
        <v>-23098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37276</v>
      </c>
      <c r="B46" s="32"/>
      <c r="C46" s="32"/>
      <c r="D46" s="380">
        <f>+D37*'by type_area'!G4</f>
        <v>-18795.620000000003</v>
      </c>
    </row>
    <row r="47" spans="1:4" x14ac:dyDescent="0.25">
      <c r="A47" s="32"/>
      <c r="B47" s="32"/>
      <c r="C47" s="32"/>
      <c r="D47" s="200">
        <f>+D46+D45</f>
        <v>144439.38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-3700.1499999999996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37276</v>
      </c>
      <c r="C41" s="48"/>
      <c r="D41" s="138">
        <f>+D40+D39</f>
        <v>176348.83000000002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37276</v>
      </c>
      <c r="B47" s="32"/>
      <c r="C47" s="32"/>
      <c r="D47" s="355">
        <f>+D37</f>
        <v>-1721</v>
      </c>
    </row>
    <row r="48" spans="1:4" x14ac:dyDescent="0.25">
      <c r="A48" s="32"/>
      <c r="B48" s="32"/>
      <c r="C48" s="32"/>
      <c r="D48" s="14">
        <f>+D47+D46</f>
        <v>77292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-5923.25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37276</v>
      </c>
      <c r="C41" s="48"/>
      <c r="D41" s="138">
        <f>+D40+D39</f>
        <v>155369.24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37276</v>
      </c>
      <c r="B47" s="32"/>
      <c r="C47" s="32"/>
      <c r="D47" s="355">
        <f>+D37</f>
        <v>-2755</v>
      </c>
    </row>
    <row r="48" spans="1:4" x14ac:dyDescent="0.25">
      <c r="A48" s="32"/>
      <c r="B48" s="32"/>
      <c r="C48" s="32"/>
      <c r="D48" s="14">
        <f>+D47+D46</f>
        <v>31216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D33" sqref="D3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-204636</v>
      </c>
      <c r="C36" s="44">
        <f>SUM(C5:C35)</f>
        <v>-201068</v>
      </c>
      <c r="D36" s="43">
        <f>SUM(D5:D35)</f>
        <v>-1392089</v>
      </c>
      <c r="E36" s="43">
        <f>SUM(E5:E35)</f>
        <v>-1384691</v>
      </c>
      <c r="F36" s="11">
        <f>SUM(F5:F35)</f>
        <v>10966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23576.899999999998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37276</v>
      </c>
      <c r="B43" s="32"/>
      <c r="C43" s="106"/>
      <c r="D43" s="106"/>
      <c r="E43" s="106"/>
      <c r="F43" s="24">
        <f>+F40+F42</f>
        <v>33252.899999999994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37276</v>
      </c>
      <c r="B49" s="32"/>
      <c r="C49" s="32"/>
      <c r="D49" s="76">
        <f>+F36</f>
        <v>10966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30909.24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5">
      <c r="A38" s="26"/>
      <c r="C38" s="14"/>
      <c r="D38" s="329">
        <f>+summary!G4</f>
        <v>2.14</v>
      </c>
    </row>
    <row r="39" spans="1:4" x14ac:dyDescent="0.25">
      <c r="D39" s="138">
        <f>+D38*D37</f>
        <v>-9266.2000000000007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37276</v>
      </c>
      <c r="C41" s="48"/>
      <c r="D41" s="138">
        <f>+D40+D39</f>
        <v>-24780.730000000003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37276</v>
      </c>
      <c r="B47" s="32"/>
      <c r="C47" s="32"/>
      <c r="D47" s="355">
        <f>+D37</f>
        <v>-4330</v>
      </c>
    </row>
    <row r="48" spans="1:4" x14ac:dyDescent="0.25">
      <c r="A48" s="32"/>
      <c r="B48" s="32"/>
      <c r="C48" s="32"/>
      <c r="D48" s="14">
        <f>+D47+D46</f>
        <v>1266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9">
        <f>+summary!G5</f>
        <v>2.15</v>
      </c>
    </row>
    <row r="39" spans="1:4" x14ac:dyDescent="0.25">
      <c r="D39" s="138">
        <f>+D38*D37</f>
        <v>-597.69999999999993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37257</v>
      </c>
      <c r="C41" s="48"/>
      <c r="D41" s="138">
        <f>+D40+D39</f>
        <v>42582.37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37257</v>
      </c>
      <c r="B47" s="32"/>
      <c r="C47" s="32"/>
      <c r="D47" s="355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64" t="s">
        <v>302</v>
      </c>
    </row>
    <row r="3" spans="1:37" x14ac:dyDescent="0.25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5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5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5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5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5">
      <c r="N40" s="332"/>
      <c r="P40" s="575"/>
      <c r="T40" s="575"/>
      <c r="U40" s="19"/>
      <c r="V40" s="576"/>
      <c r="W40" s="252"/>
      <c r="X40" s="264"/>
      <c r="Y40" s="573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5">
      <c r="N42" s="322"/>
      <c r="P42" s="575"/>
      <c r="T42" s="575"/>
      <c r="U42" s="19"/>
      <c r="V42" s="576"/>
      <c r="W42" s="252"/>
      <c r="X42" s="264"/>
      <c r="Y42" s="573"/>
    </row>
    <row r="43" spans="1:25" x14ac:dyDescent="0.25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5">
      <c r="N44" s="332"/>
      <c r="P44" s="575"/>
      <c r="T44" s="575"/>
      <c r="U44" s="19"/>
      <c r="V44" s="576"/>
      <c r="W44" s="252"/>
      <c r="X44" s="264"/>
      <c r="Y44" s="573"/>
    </row>
    <row r="45" spans="1:25" x14ac:dyDescent="0.25">
      <c r="P45" s="575"/>
      <c r="T45" s="575"/>
      <c r="U45" s="19"/>
      <c r="V45" s="576"/>
      <c r="W45" s="252"/>
      <c r="X45" s="264"/>
      <c r="Y45" s="573"/>
    </row>
    <row r="46" spans="1:25" x14ac:dyDescent="0.25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5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5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5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5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5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5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5">
      <c r="A84" s="261"/>
      <c r="O84" s="574"/>
      <c r="P84" s="575"/>
      <c r="Q84" s="575"/>
      <c r="R84" s="575"/>
      <c r="S84" s="575"/>
      <c r="T84" s="575"/>
      <c r="V84" s="583"/>
    </row>
    <row r="85" spans="1:22" x14ac:dyDescent="0.25">
      <c r="A85" s="261"/>
      <c r="O85" s="574"/>
      <c r="P85" s="575"/>
      <c r="Q85" s="575"/>
      <c r="R85" s="575"/>
      <c r="S85" s="575"/>
      <c r="T85" s="575"/>
      <c r="V85" s="583"/>
    </row>
    <row r="86" spans="1:22" x14ac:dyDescent="0.25">
      <c r="A86" s="261"/>
      <c r="O86" s="574"/>
      <c r="P86" s="575"/>
      <c r="Q86" s="575"/>
      <c r="R86" s="575"/>
      <c r="S86" s="575"/>
      <c r="T86" s="575"/>
      <c r="V86" s="583"/>
    </row>
    <row r="87" spans="1:22" x14ac:dyDescent="0.25">
      <c r="A87" s="261"/>
      <c r="O87" s="574"/>
      <c r="P87" s="575"/>
      <c r="Q87" s="575"/>
      <c r="R87" s="575"/>
      <c r="S87" s="575"/>
      <c r="T87" s="575"/>
      <c r="V87" s="583"/>
    </row>
    <row r="88" spans="1:22" x14ac:dyDescent="0.25">
      <c r="A88" s="261"/>
      <c r="O88" s="574"/>
      <c r="P88" s="575"/>
      <c r="Q88" s="575"/>
      <c r="R88" s="575"/>
      <c r="S88" s="575"/>
      <c r="T88" s="575"/>
      <c r="V88" s="583"/>
    </row>
    <row r="89" spans="1:22" x14ac:dyDescent="0.25">
      <c r="A89" s="261"/>
      <c r="O89" s="574"/>
      <c r="P89" s="575"/>
      <c r="Q89" s="575"/>
      <c r="R89" s="575"/>
      <c r="S89" s="575"/>
      <c r="T89" s="575"/>
      <c r="V89" s="583"/>
    </row>
    <row r="90" spans="1:22" x14ac:dyDescent="0.25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5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5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5">
      <c r="A128" s="261"/>
    </row>
    <row r="129" spans="1:14" x14ac:dyDescent="0.25">
      <c r="B129" s="470"/>
      <c r="D129" s="470"/>
      <c r="F129" s="470"/>
      <c r="H129" s="470"/>
      <c r="J129" s="470"/>
      <c r="L129" s="470"/>
    </row>
    <row r="130" spans="1:14" x14ac:dyDescent="0.25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5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86"/>
      <c r="K166" s="586"/>
      <c r="M166" s="586"/>
      <c r="N166" s="51"/>
    </row>
    <row r="167" spans="1:14" x14ac:dyDescent="0.25">
      <c r="N167" s="51"/>
    </row>
    <row r="171" spans="1:14" x14ac:dyDescent="0.25">
      <c r="B171" s="470"/>
      <c r="D171" s="470"/>
      <c r="F171" s="470"/>
      <c r="H171" s="470"/>
      <c r="J171" s="470"/>
      <c r="L171" s="470"/>
    </row>
    <row r="172" spans="1:14" x14ac:dyDescent="0.25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5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86"/>
      <c r="K208" s="586"/>
      <c r="M208" s="586"/>
    </row>
    <row r="214" spans="1:13" x14ac:dyDescent="0.25">
      <c r="B214" s="470"/>
      <c r="D214" s="470"/>
      <c r="F214" s="470"/>
      <c r="H214" s="470"/>
      <c r="J214" s="470"/>
      <c r="L214" s="470"/>
    </row>
    <row r="215" spans="1:13" x14ac:dyDescent="0.25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5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86"/>
      <c r="K251" s="586"/>
      <c r="M251" s="586"/>
    </row>
    <row r="256" spans="1:21" x14ac:dyDescent="0.25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5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5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86"/>
      <c r="K293" s="586"/>
      <c r="M293" s="586"/>
      <c r="V293" s="58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70"/>
      <c r="Q297" s="470"/>
      <c r="S297" s="470"/>
      <c r="U297" s="470"/>
    </row>
    <row r="298" spans="1:23" x14ac:dyDescent="0.25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5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87"/>
      <c r="W336" s="51"/>
    </row>
    <row r="339" spans="14:23" x14ac:dyDescent="0.25">
      <c r="O339" s="470"/>
      <c r="Q339" s="470"/>
      <c r="S339" s="470"/>
      <c r="U339" s="470"/>
    </row>
    <row r="340" spans="14:23" x14ac:dyDescent="0.25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5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64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87"/>
      <c r="W378" s="588"/>
    </row>
    <row r="381" spans="14:23" x14ac:dyDescent="0.25">
      <c r="O381" s="470"/>
      <c r="Q381" s="470"/>
      <c r="S381" s="470"/>
      <c r="U381" s="470"/>
    </row>
    <row r="382" spans="14:23" x14ac:dyDescent="0.25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5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64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87"/>
      <c r="W420" s="588"/>
    </row>
    <row r="425" spans="14:23" x14ac:dyDescent="0.25">
      <c r="O425" s="470"/>
      <c r="Q425" s="470"/>
      <c r="S425" s="470"/>
      <c r="U425" s="470"/>
    </row>
    <row r="426" spans="14:23" x14ac:dyDescent="0.25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5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64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87"/>
      <c r="W464" s="51"/>
    </row>
    <row r="467" spans="14:33" x14ac:dyDescent="0.25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5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5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7" workbookViewId="0">
      <selection activeCell="C27" sqref="C2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2809809</v>
      </c>
      <c r="C38" s="11">
        <f>SUM(C7:C37)</f>
        <v>2781562</v>
      </c>
      <c r="D38" s="11">
        <f>SUM(D7:D37)</f>
        <v>-28247</v>
      </c>
    </row>
    <row r="39" spans="1:8" x14ac:dyDescent="0.25">
      <c r="A39" s="26"/>
      <c r="C39" s="14"/>
      <c r="D39" s="106">
        <f>+summary!G3</f>
        <v>2.11</v>
      </c>
    </row>
    <row r="40" spans="1:8" x14ac:dyDescent="0.25">
      <c r="D40" s="138">
        <f>+D39*D38</f>
        <v>-59601.17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37276</v>
      </c>
      <c r="D42" s="322">
        <f>+D41+D40</f>
        <v>-12006.229999999996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37276</v>
      </c>
      <c r="B48" s="32"/>
      <c r="C48" s="32"/>
      <c r="D48" s="355">
        <f>+D38</f>
        <v>-28247</v>
      </c>
    </row>
    <row r="49" spans="1:4" x14ac:dyDescent="0.25">
      <c r="A49" s="32"/>
      <c r="B49" s="32"/>
      <c r="C49" s="32"/>
      <c r="D49" s="14">
        <f>+D48+D47</f>
        <v>-7836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-3330618</v>
      </c>
      <c r="C35" s="11">
        <f>SUM(C4:C34)</f>
        <v>-3364008</v>
      </c>
      <c r="D35" s="11">
        <f>SUM(D4:D34)</f>
        <v>-33390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37276</v>
      </c>
      <c r="D40" s="51">
        <f>+D38+D35</f>
        <v>25681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37276</v>
      </c>
      <c r="B46" s="32"/>
      <c r="C46" s="32"/>
      <c r="D46" s="380">
        <f>+D35*'by type_area'!G4</f>
        <v>-71454.600000000006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-151997.75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-11002757</v>
      </c>
      <c r="C35" s="11">
        <f>SUM(C4:C34)</f>
        <v>-11040919</v>
      </c>
      <c r="D35" s="11">
        <f>SUM(D4:D34)</f>
        <v>0</v>
      </c>
      <c r="E35" s="11">
        <f>SUM(E4:E34)</f>
        <v>0</v>
      </c>
      <c r="F35" s="11">
        <f>SUM(F4:F34)</f>
        <v>-38162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37276</v>
      </c>
      <c r="D40" s="246"/>
      <c r="E40" s="246"/>
      <c r="F40" s="51">
        <f>+F38+F35</f>
        <v>66258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37276</v>
      </c>
      <c r="B46" s="32"/>
      <c r="C46" s="32"/>
      <c r="D46" s="480">
        <f>+F35*'by type_area'!G4</f>
        <v>-81666.680000000008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250250.32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3.2" x14ac:dyDescent="0.25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18" workbookViewId="0">
      <selection activeCell="E28" sqref="E2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37276</v>
      </c>
      <c r="I23" s="11">
        <f>+B39</f>
        <v>2922310</v>
      </c>
      <c r="J23" s="11">
        <f>+C39</f>
        <v>2908620</v>
      </c>
      <c r="K23" s="11">
        <f>+D39</f>
        <v>256667</v>
      </c>
      <c r="L23" s="11">
        <f>+E39</f>
        <v>260660</v>
      </c>
      <c r="M23" s="42">
        <f>+J23-I23+L23-K23</f>
        <v>-9697</v>
      </c>
      <c r="N23" s="102">
        <f>+summary!G3</f>
        <v>2.11</v>
      </c>
      <c r="O23" s="510">
        <f>+N23*M23</f>
        <v>-20460.669999999998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80103</v>
      </c>
      <c r="N24" s="102"/>
      <c r="O24" s="102">
        <f>SUM(O9:O23)</f>
        <v>547655.66999999993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2922310</v>
      </c>
      <c r="C39" s="150">
        <f>SUM(C8:C38)</f>
        <v>2908620</v>
      </c>
      <c r="D39" s="150">
        <f>SUM(D8:D38)</f>
        <v>256667</v>
      </c>
      <c r="E39" s="150">
        <f>SUM(E8:E38)</f>
        <v>260660</v>
      </c>
      <c r="F39" s="11">
        <f t="shared" si="5"/>
        <v>-9697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37276</v>
      </c>
      <c r="B45" s="32"/>
      <c r="C45" s="106"/>
      <c r="D45" s="106"/>
      <c r="E45" s="106"/>
      <c r="F45" s="24">
        <f>+F44+F39</f>
        <v>20434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37276</v>
      </c>
      <c r="B51" s="32"/>
      <c r="C51" s="32"/>
      <c r="D51" s="355">
        <f>+F39*summary!G3</f>
        <v>-20460.669999999998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413900.11000000004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2002-01-22T13:40:09Z</cp:lastPrinted>
  <dcterms:created xsi:type="dcterms:W3CDTF">2000-03-28T16:52:23Z</dcterms:created>
  <dcterms:modified xsi:type="dcterms:W3CDTF">2023-09-10T12:01:51Z</dcterms:modified>
</cp:coreProperties>
</file>