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B6" i="64"/>
  <c r="D6" i="64"/>
  <c r="D7" i="64"/>
  <c r="D8" i="64"/>
  <c r="D9" i="64"/>
  <c r="D10" i="64"/>
  <c r="D11" i="64"/>
  <c r="B12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P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<sst xmlns="http://schemas.openxmlformats.org/spreadsheetml/2006/main" count="1010" uniqueCount="314">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</sst>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  <xf numFmtId="172" fontId="3" fillId="0" borderId="0" xfId="1" applyNumberFormat="1" applyFont="1"/>
    <xf numFmtId="172" fontId="9" fillId="0" borderId="0" xfId="1" applyNumberFormat="1" applyFont="1"/>
    <xf numFmtId="37" fontId="8" fillId="3" borderId="0" xfId="1" applyNumberFormat="1" applyFont="1" applyFill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2.0499999999999998</v>
          </cell>
          <cell r="K39">
            <v>2.0499999999999998</v>
          </cell>
          <cell r="M39">
            <v>2.0499999999999998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84" workbookViewId="0">
      <selection activeCell="B28" sqref="B28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2.0499999999999998</v>
      </c>
      <c r="H3" s="402">
        <f ca="1">NOW()</f>
        <v>37295.541921875003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2.0499999999999998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2.0499999999999998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6" t="s">
        <v>127</v>
      </c>
      <c r="B12" s="346">
        <f>+Calpine!D41</f>
        <v>21340.649999999998</v>
      </c>
      <c r="C12" s="369">
        <f>+B12/$G$4</f>
        <v>10410.073170731706</v>
      </c>
      <c r="D12" s="14">
        <f>+Calpine!D47</f>
        <v>97525</v>
      </c>
      <c r="E12" s="70">
        <f>+C12-D12</f>
        <v>-87114.926829268297</v>
      </c>
      <c r="F12" s="364">
        <f>+Calpine!A41</f>
        <v>37293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48825.3</v>
      </c>
      <c r="C13" s="368">
        <f>+B13/$G$4</f>
        <v>23817.219512195126</v>
      </c>
      <c r="D13" s="14">
        <f>+'Citizens-Griffith'!D48</f>
        <v>27248</v>
      </c>
      <c r="E13" s="70">
        <f>+C13-D13</f>
        <v>-3430.7804878048737</v>
      </c>
      <c r="F13" s="364">
        <f>+'Citizens-Griffith'!A41</f>
        <v>37293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278</v>
      </c>
      <c r="B14" s="480">
        <f>+SWGasTrans!D41</f>
        <v>-20478.3</v>
      </c>
      <c r="C14" s="368">
        <f>+B14/G4</f>
        <v>-9989.414634146342</v>
      </c>
      <c r="D14" s="14">
        <f>+SWGasTrans!$D$48</f>
        <v>3211</v>
      </c>
      <c r="E14" s="70">
        <f>+C14-D14</f>
        <v>-13200.414634146342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-285660.15000000002</v>
      </c>
      <c r="C15" s="368">
        <f>+B15/$G$4</f>
        <v>-139346.41463414638</v>
      </c>
      <c r="D15" s="14">
        <f>+'NS Steel'!D50</f>
        <v>-10847</v>
      </c>
      <c r="E15" s="70">
        <f>+C15-D15</f>
        <v>-128499.41463414638</v>
      </c>
      <c r="F15" s="365">
        <f>+'NS Steel'!A41</f>
        <v>37293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6" t="s">
        <v>135</v>
      </c>
      <c r="B16" s="349">
        <f>+Citizens!D18</f>
        <v>-550339.18999999994</v>
      </c>
      <c r="C16" s="370">
        <f>+B16/$G$4</f>
        <v>-268458.14146341465</v>
      </c>
      <c r="D16" s="350">
        <f>+Citizens!D24</f>
        <v>-42903</v>
      </c>
      <c r="E16" s="72">
        <f>+C16-D16</f>
        <v>-225555.14146341465</v>
      </c>
      <c r="F16" s="364">
        <f>+Citizens!A18</f>
        <v>37287</v>
      </c>
      <c r="G16" s="203" t="s">
        <v>301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-786311.69</v>
      </c>
      <c r="C17" s="393">
        <f>SUBTOTAL(9,C12:C16)</f>
        <v>-383566.67804878054</v>
      </c>
      <c r="D17" s="394">
        <f>SUBTOTAL(9,D12:D16)</f>
        <v>74234</v>
      </c>
      <c r="E17" s="395">
        <f>SUBTOTAL(9,E12:E16)</f>
        <v>-457800.67804878054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31780.75</v>
      </c>
      <c r="C20" s="368">
        <f>+B20/$G$4</f>
        <v>15502.804878048782</v>
      </c>
      <c r="D20" s="14">
        <f>+transcol!D50</f>
        <v>-40645</v>
      </c>
      <c r="E20" s="70">
        <f>+C20-D20</f>
        <v>56147.804878048781</v>
      </c>
      <c r="F20" s="365">
        <f>+transcol!A43</f>
        <v>37292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6" t="s">
        <v>290</v>
      </c>
      <c r="B21" s="481">
        <f>+C21*G3</f>
        <v>1963.8999999999999</v>
      </c>
      <c r="C21" s="368">
        <f>+williams!J40</f>
        <v>958</v>
      </c>
      <c r="D21" s="14">
        <f>+C21</f>
        <v>958</v>
      </c>
      <c r="E21" s="70">
        <f>+C21-D21</f>
        <v>0</v>
      </c>
      <c r="F21" s="365">
        <f>+williams!A40</f>
        <v>37293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5">
      <c r="A22" s="506" t="s">
        <v>95</v>
      </c>
      <c r="B22" s="497">
        <f>+burlington!D42</f>
        <v>-15589.8</v>
      </c>
      <c r="C22" s="372">
        <f>+B22/$G$3</f>
        <v>-7604.7804878048782</v>
      </c>
      <c r="D22" s="350">
        <f>+burlington!D49</f>
        <v>-10122</v>
      </c>
      <c r="E22" s="72">
        <f>+C22-D22</f>
        <v>2517.2195121951218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18154.850000000002</v>
      </c>
      <c r="C23" s="389">
        <f>SUBTOTAL(9,C20:C22)</f>
        <v>8856.0243902439033</v>
      </c>
      <c r="D23" s="394">
        <f>SUBTOTAL(9,D20:D22)</f>
        <v>-49809</v>
      </c>
      <c r="E23" s="395">
        <f>SUBTOTAL(9,E20:E22)</f>
        <v>58665.024390243903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6" t="s">
        <v>87</v>
      </c>
      <c r="B26" s="480">
        <f>+NNG!$D$24</f>
        <v>13519.85</v>
      </c>
      <c r="C26" s="368">
        <f>+B26/$G$4</f>
        <v>6595.0487804878057</v>
      </c>
      <c r="D26" s="14">
        <f>+NNG!D34</f>
        <v>4879</v>
      </c>
      <c r="E26" s="70">
        <f t="shared" ref="E26:E48" si="0">+C26-D26</f>
        <v>1716.0487804878057</v>
      </c>
      <c r="F26" s="364">
        <f>+NNG!A24</f>
        <v>37293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436705.88</v>
      </c>
      <c r="C27" s="368">
        <f>+B27/$G$4</f>
        <v>213027.25853658537</v>
      </c>
      <c r="D27" s="14">
        <f>+Conoco!D48</f>
        <v>6355</v>
      </c>
      <c r="E27" s="70">
        <f t="shared" si="0"/>
        <v>206672.25853658537</v>
      </c>
      <c r="F27" s="364">
        <f>+Conoco!A41</f>
        <v>37293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154663.88</v>
      </c>
      <c r="C28" s="368">
        <f>+B28/$G$4</f>
        <v>75445.795121951232</v>
      </c>
      <c r="D28" s="14">
        <f>+'Amoco Abo'!D49</f>
        <v>-367174</v>
      </c>
      <c r="E28" s="70">
        <f t="shared" si="0"/>
        <v>442619.79512195126</v>
      </c>
      <c r="F28" s="365">
        <f>+'Amoco Abo'!A43</f>
        <v>37292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295806.83</v>
      </c>
      <c r="C29" s="368">
        <f>+B29/$G$4</f>
        <v>144296.01463414636</v>
      </c>
      <c r="D29" s="14">
        <f>+KN_Westar!D48</f>
        <v>-53608</v>
      </c>
      <c r="E29" s="70">
        <f t="shared" si="0"/>
        <v>197904.01463414636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6" t="s">
        <v>248</v>
      </c>
      <c r="B30" s="480">
        <f>+summary!B42</f>
        <v>-129322.19000000006</v>
      </c>
      <c r="C30" s="369">
        <f>+B30/$G$5</f>
        <v>-63083.995121951251</v>
      </c>
      <c r="D30" s="14">
        <f>+DEFS!$I$36+DEFS!$J$36+DEFS!$K$45+DEFS!$K$46+DEFS!$K$47+DEFS!$K$48</f>
        <v>-447453</v>
      </c>
      <c r="E30" s="70">
        <f t="shared" si="0"/>
        <v>384369.00487804873</v>
      </c>
      <c r="F30" s="365">
        <f>+DEFS!A40</f>
        <v>37290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480">
        <f>+mewborne!$J$43</f>
        <v>332962.8</v>
      </c>
      <c r="C31" s="368">
        <f>+B31/$G$4</f>
        <v>162420.87804878049</v>
      </c>
      <c r="D31" s="14">
        <f>+mewborne!D49</f>
        <v>131348</v>
      </c>
      <c r="E31" s="70">
        <f t="shared" si="0"/>
        <v>31072.878048780491</v>
      </c>
      <c r="F31" s="365">
        <f>+mewborne!A43</f>
        <v>37293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147</v>
      </c>
      <c r="B32" s="480">
        <f>+PGETX!$H$39</f>
        <v>10192.950000000001</v>
      </c>
      <c r="C32" s="368">
        <f>+B32/$G$4</f>
        <v>4972.1707317073178</v>
      </c>
      <c r="D32" s="14">
        <f>+PGETX!E48</f>
        <v>32635</v>
      </c>
      <c r="E32" s="70">
        <f t="shared" si="0"/>
        <v>-27662.829268292684</v>
      </c>
      <c r="F32" s="365">
        <f>+PGETX!E39</f>
        <v>37293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5">
      <c r="A33" s="248" t="s">
        <v>82</v>
      </c>
      <c r="B33" s="346">
        <f>+PNM!$D$23</f>
        <v>822219.53</v>
      </c>
      <c r="C33" s="368">
        <f>+B33/$G$4</f>
        <v>401082.69756097568</v>
      </c>
      <c r="D33" s="14">
        <f>+PNM!D30</f>
        <v>334031</v>
      </c>
      <c r="E33" s="70">
        <f t="shared" si="0"/>
        <v>67051.697560975677</v>
      </c>
      <c r="F33" s="365">
        <f>+PNM!A23</f>
        <v>37293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480">
        <f>+EOG!J41</f>
        <v>28235.75</v>
      </c>
      <c r="C34" s="368">
        <f>+B34/$G$4</f>
        <v>13773.536585365855</v>
      </c>
      <c r="D34" s="14">
        <f>+EOG!D48</f>
        <v>-14079</v>
      </c>
      <c r="E34" s="70">
        <f t="shared" si="0"/>
        <v>27852.536585365855</v>
      </c>
      <c r="F34" s="364">
        <f>+EOG!A41</f>
        <v>37292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346">
        <f>+Oasis!D40</f>
        <v>-137102.70000000001</v>
      </c>
      <c r="C35" s="368">
        <f>+B35/G5</f>
        <v>-66879.365853658543</v>
      </c>
      <c r="D35" s="14">
        <f>+Oasis!D47</f>
        <v>-67788</v>
      </c>
      <c r="E35" s="70">
        <f>+C35-D35</f>
        <v>908.63414634145738</v>
      </c>
      <c r="F35" s="364">
        <f>+Oasis!A40</f>
        <v>37292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480">
        <f>+SidR!D41</f>
        <v>10210.049999999999</v>
      </c>
      <c r="C36" s="368">
        <f>+B36/$G$5</f>
        <v>4980.5121951219517</v>
      </c>
      <c r="D36" s="14">
        <f>+SidR!D48</f>
        <v>4766</v>
      </c>
      <c r="E36" s="70">
        <f t="shared" si="0"/>
        <v>214.51219512195166</v>
      </c>
      <c r="F36" s="365">
        <f>+SidR!A41</f>
        <v>37292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5">
      <c r="A37" s="506" t="s">
        <v>258</v>
      </c>
      <c r="B37" s="346">
        <f>+summary!$B$45</f>
        <v>-192231</v>
      </c>
      <c r="C37" s="368">
        <f>+summary!$C$45</f>
        <v>-93771.219512195137</v>
      </c>
      <c r="D37" s="14">
        <f>+MiVida_Rich!D48</f>
        <v>-45944</v>
      </c>
      <c r="E37" s="70">
        <f>+C37-D37</f>
        <v>-47827.219512195137</v>
      </c>
      <c r="F37" s="365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207</v>
      </c>
      <c r="B38" s="346">
        <f>+Dominion!D41</f>
        <v>173999.15</v>
      </c>
      <c r="C38" s="368">
        <f>+B38/$G$5</f>
        <v>84877.634146341472</v>
      </c>
      <c r="D38" s="14">
        <f>+Dominion!D48</f>
        <v>76113</v>
      </c>
      <c r="E38" s="70">
        <f t="shared" si="0"/>
        <v>8764.6341463414719</v>
      </c>
      <c r="F38" s="365">
        <f>+Dominion!A41</f>
        <v>37293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204</v>
      </c>
      <c r="B39" s="346">
        <f>+WTGmktg!J43</f>
        <v>-34637.65</v>
      </c>
      <c r="C39" s="368">
        <f>+B39/$G$4</f>
        <v>-16896.414634146342</v>
      </c>
      <c r="D39" s="14">
        <f>+WTGmktg!D50</f>
        <v>-2982</v>
      </c>
      <c r="E39" s="70">
        <f t="shared" si="0"/>
        <v>-13914.414634146342</v>
      </c>
      <c r="F39" s="365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281</v>
      </c>
      <c r="B40" s="346">
        <f>+'WTG inc'!N43</f>
        <v>25669.4</v>
      </c>
      <c r="C40" s="368">
        <f>+B40/G4</f>
        <v>12521.658536585368</v>
      </c>
      <c r="D40" s="14">
        <f>+'WTG inc'!D50</f>
        <v>8793</v>
      </c>
      <c r="E40" s="70">
        <f>+C40-D40</f>
        <v>3728.658536585368</v>
      </c>
      <c r="F40" s="365">
        <f>+'WTG inc'!A43</f>
        <v>37290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208</v>
      </c>
      <c r="B41" s="346">
        <f>+Devon!D41</f>
        <v>131917.70000000001</v>
      </c>
      <c r="C41" s="368">
        <f>+B41/$G$5</f>
        <v>64350.097560975621</v>
      </c>
      <c r="D41" s="14">
        <f>+Devon!D48</f>
        <v>19779</v>
      </c>
      <c r="E41" s="70">
        <f t="shared" si="0"/>
        <v>44571.097560975621</v>
      </c>
      <c r="F41" s="365">
        <f>+Devon!A41</f>
        <v>37293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217</v>
      </c>
      <c r="B42" s="346">
        <f>+crosstex!F41</f>
        <v>-135859.82999999999</v>
      </c>
      <c r="C42" s="368">
        <f>+B42/$G$4</f>
        <v>-66273.087804878043</v>
      </c>
      <c r="D42" s="14">
        <f>+crosstex!D48</f>
        <v>-44726</v>
      </c>
      <c r="E42" s="70">
        <f t="shared" si="0"/>
        <v>-21547.087804878043</v>
      </c>
      <c r="F42" s="365">
        <f>+crosstex!A41</f>
        <v>37293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218</v>
      </c>
      <c r="B43" s="346">
        <f>+Amarillo!P41</f>
        <v>93730.02</v>
      </c>
      <c r="C43" s="368">
        <f>+B43/$G$4</f>
        <v>45721.960975609763</v>
      </c>
      <c r="D43" s="14">
        <f>+Amarillo!D48</f>
        <v>38956</v>
      </c>
      <c r="E43" s="70">
        <f t="shared" si="0"/>
        <v>6765.9609756097634</v>
      </c>
      <c r="F43" s="365">
        <f>+Amarillo!A41</f>
        <v>37293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296</v>
      </c>
      <c r="B44" s="346">
        <f>+Stratland!$D$41</f>
        <v>48516</v>
      </c>
      <c r="C44" s="369">
        <f>+B44/$G$4</f>
        <v>23666.341463414636</v>
      </c>
      <c r="D44" s="14">
        <f>+Stratland!D48</f>
        <v>17403</v>
      </c>
      <c r="E44" s="70">
        <f>+C44-D44</f>
        <v>6263.3414634146357</v>
      </c>
      <c r="F44" s="364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307</v>
      </c>
      <c r="B45" s="346">
        <f>+Plains!$N$43</f>
        <v>107948.28</v>
      </c>
      <c r="C45" s="369">
        <f>+B45/$G$4</f>
        <v>52657.697560975612</v>
      </c>
      <c r="D45" s="14">
        <f>+Plains!D50</f>
        <v>36315</v>
      </c>
      <c r="E45" s="70">
        <f>+C45-D45</f>
        <v>16342.697560975612</v>
      </c>
      <c r="F45" s="364">
        <f>+Plains!A43</f>
        <v>37256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346">
        <f>+Continental!F43</f>
        <v>27557.4</v>
      </c>
      <c r="C46" s="369">
        <f>+B46/$G$4</f>
        <v>13442.634146341465</v>
      </c>
      <c r="D46" s="14">
        <f>+Continental!D50</f>
        <v>-2472</v>
      </c>
      <c r="E46" s="70">
        <f t="shared" si="0"/>
        <v>15914.634146341465</v>
      </c>
      <c r="F46" s="365">
        <f>+Continental!A43</f>
        <v>37291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346">
        <f>+EPFS!D41</f>
        <v>124957.5</v>
      </c>
      <c r="C47" s="369">
        <f>+B47/$G$5</f>
        <v>60954.878048780491</v>
      </c>
      <c r="D47" s="14">
        <f>+EPFS!D47</f>
        <v>73922</v>
      </c>
      <c r="E47" s="70">
        <f t="shared" si="0"/>
        <v>-12967.121951219509</v>
      </c>
      <c r="F47" s="364">
        <f>+EPFS!A41</f>
        <v>37293</v>
      </c>
      <c r="G47" s="203" t="s">
        <v>154</v>
      </c>
      <c r="H47" s="32" t="s">
        <v>102</v>
      </c>
      <c r="I47" s="32"/>
      <c r="J47" s="32"/>
      <c r="K47" s="32"/>
    </row>
    <row r="48" spans="1:11" ht="12.9" customHeight="1" x14ac:dyDescent="0.25">
      <c r="A48" s="506" t="s">
        <v>79</v>
      </c>
      <c r="B48" s="497">
        <f>+Agave!$D$24</f>
        <v>305037.19999999995</v>
      </c>
      <c r="C48" s="370">
        <f>+B48/$G$4</f>
        <v>148798.63414634144</v>
      </c>
      <c r="D48" s="350">
        <f>+Agave!D31</f>
        <v>159936</v>
      </c>
      <c r="E48" s="72">
        <f t="shared" si="0"/>
        <v>-11137.365853658557</v>
      </c>
      <c r="F48" s="364">
        <f>+Agave!A24</f>
        <v>37293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161</v>
      </c>
      <c r="B49" s="388">
        <f>SUBTOTAL(9,B26:B48)</f>
        <v>2514696.7999999998</v>
      </c>
      <c r="C49" s="393">
        <f>SUBTOTAL(9,C26:C48)</f>
        <v>1226681.3658536586</v>
      </c>
      <c r="D49" s="394">
        <f>SUBTOTAL(9,D26:D48)</f>
        <v>-100995</v>
      </c>
      <c r="E49" s="395">
        <f>SUBTOTAL(9,E26:E48)</f>
        <v>1327676.3658536582</v>
      </c>
      <c r="F49" s="364"/>
      <c r="G49" s="353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162</v>
      </c>
      <c r="B51" s="388">
        <f>SUBTOTAL(9,B12:B48)</f>
        <v>1746539.9599999997</v>
      </c>
      <c r="C51" s="393">
        <f>SUBTOTAL(9,C12:C48)</f>
        <v>851970.71219512192</v>
      </c>
      <c r="D51" s="394">
        <f>SUBTOTAL(9,D12:D48)</f>
        <v>-76570</v>
      </c>
      <c r="E51" s="395">
        <f>SUBTOTAL(9,E12:E48)</f>
        <v>928540.71219512203</v>
      </c>
      <c r="F51" s="364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6"/>
      <c r="C52" s="368"/>
      <c r="D52" s="368"/>
      <c r="E52" s="368"/>
      <c r="F52" s="353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3" t="s">
        <v>78</v>
      </c>
      <c r="G56" s="386"/>
      <c r="H56" s="32"/>
    </row>
    <row r="57" spans="1:19" ht="13.5" customHeight="1" outlineLevel="2" x14ac:dyDescent="0.25">
      <c r="D57" s="7"/>
      <c r="F57" s="384" t="s">
        <v>29</v>
      </c>
      <c r="G57" s="387">
        <f>+G3</f>
        <v>2.0499999999999998</v>
      </c>
      <c r="H57" s="402">
        <f ca="1">NOW()</f>
        <v>37295.541921875003</v>
      </c>
    </row>
    <row r="58" spans="1:19" ht="13.5" customHeight="1" outlineLevel="2" x14ac:dyDescent="0.25">
      <c r="A58" s="34" t="s">
        <v>145</v>
      </c>
      <c r="C58" s="34" t="s">
        <v>5</v>
      </c>
      <c r="D58" s="7"/>
      <c r="F58" s="385" t="s">
        <v>30</v>
      </c>
      <c r="G58" s="387">
        <f>+G4</f>
        <v>2.0499999999999998</v>
      </c>
      <c r="H58" s="32"/>
    </row>
    <row r="59" spans="1:19" ht="13.5" customHeight="1" outlineLevel="1" x14ac:dyDescent="0.25">
      <c r="D59" s="7"/>
      <c r="F59" s="384" t="s">
        <v>117</v>
      </c>
      <c r="G59" s="387">
        <f>+G5</f>
        <v>2.0499999999999998</v>
      </c>
      <c r="H59" s="32"/>
    </row>
    <row r="60" spans="1:19" ht="13.5" customHeight="1" outlineLevel="2" x14ac:dyDescent="0.25"/>
    <row r="61" spans="1:19" ht="13.5" customHeight="1" outlineLevel="2" x14ac:dyDescent="0.25">
      <c r="A61" s="400" t="s">
        <v>164</v>
      </c>
      <c r="B61" s="401"/>
      <c r="E61" s="12" t="s">
        <v>197</v>
      </c>
    </row>
    <row r="62" spans="1:19" ht="13.5" customHeight="1" outlineLevel="2" x14ac:dyDescent="0.25">
      <c r="A62" s="32"/>
      <c r="B62" s="403" t="s">
        <v>188</v>
      </c>
      <c r="C62" s="403" t="s">
        <v>195</v>
      </c>
      <c r="D62" s="403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6" t="s">
        <v>89</v>
      </c>
      <c r="B63" s="399" t="s">
        <v>0</v>
      </c>
      <c r="C63" s="378" t="s">
        <v>166</v>
      </c>
      <c r="D63" s="39" t="s">
        <v>196</v>
      </c>
      <c r="E63" s="39" t="s">
        <v>199</v>
      </c>
      <c r="F63" s="39" t="s">
        <v>146</v>
      </c>
      <c r="G63" s="390" t="s">
        <v>151</v>
      </c>
      <c r="H63" s="367" t="s">
        <v>101</v>
      </c>
      <c r="I63" s="366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6" t="s">
        <v>155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8">
        <f>+Mojave!D40</f>
        <v>179857</v>
      </c>
      <c r="C66" s="346">
        <f>+B66*$G$4</f>
        <v>368706.85</v>
      </c>
      <c r="D66" s="47">
        <f>+Mojave!D47</f>
        <v>185266.9</v>
      </c>
      <c r="E66" s="47">
        <f>+C66-D66</f>
        <v>183439.94999999998</v>
      </c>
      <c r="F66" s="365">
        <f>+Mojave!A40</f>
        <v>37291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5">
      <c r="A67" s="248" t="s">
        <v>32</v>
      </c>
      <c r="B67" s="369">
        <f>+SoCal!F40</f>
        <v>77076</v>
      </c>
      <c r="C67" s="346">
        <f>+B67*$G$4</f>
        <v>158005.79999999999</v>
      </c>
      <c r="D67" s="47">
        <f>+SoCal!D47</f>
        <v>275549.2</v>
      </c>
      <c r="E67" s="47">
        <f>+C67-D67</f>
        <v>-117543.40000000002</v>
      </c>
      <c r="F67" s="365">
        <f>+SoCal!A40</f>
        <v>37293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178</v>
      </c>
      <c r="B68" s="368">
        <f>+'El Paso'!C39</f>
        <v>64269</v>
      </c>
      <c r="C68" s="346">
        <f>+B68*$G$4</f>
        <v>131751.44999999998</v>
      </c>
      <c r="D68" s="47">
        <f>+'El Paso'!C46</f>
        <v>-1582961.01</v>
      </c>
      <c r="E68" s="47">
        <f>+C68-D68</f>
        <v>1714712.46</v>
      </c>
      <c r="F68" s="365">
        <f>+'El Paso'!A39</f>
        <v>37293</v>
      </c>
      <c r="G68" s="420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5">
      <c r="A69" s="248" t="s">
        <v>114</v>
      </c>
      <c r="B69" s="370">
        <f>+'PG&amp;E'!D40</f>
        <v>35627</v>
      </c>
      <c r="C69" s="349">
        <f>+B69*$G$4</f>
        <v>73035.349999999991</v>
      </c>
      <c r="D69" s="349">
        <f>+'PG&amp;E'!D47</f>
        <v>-129513.75</v>
      </c>
      <c r="E69" s="349">
        <f>+C69-D69</f>
        <v>202549.09999999998</v>
      </c>
      <c r="F69" s="365">
        <f>+'PG&amp;E'!A40</f>
        <v>37293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156</v>
      </c>
      <c r="B70" s="393">
        <f>SUBTOTAL(9,B66:B69)</f>
        <v>356829</v>
      </c>
      <c r="C70" s="388">
        <f>SUBTOTAL(9,C66:C69)</f>
        <v>731499.44999999984</v>
      </c>
      <c r="D70" s="388">
        <f>SUBTOTAL(9,D66:D69)</f>
        <v>-1251658.6600000001</v>
      </c>
      <c r="E70" s="388">
        <f>SUBTOTAL(9,E66:E69)</f>
        <v>1983158.1099999999</v>
      </c>
      <c r="F70" s="365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6" t="s">
        <v>57</v>
      </c>
      <c r="B72" s="286"/>
      <c r="C72" s="247"/>
      <c r="G72" s="203"/>
    </row>
    <row r="73" spans="1:11" x14ac:dyDescent="0.25">
      <c r="A73" s="248" t="s">
        <v>23</v>
      </c>
      <c r="B73" s="368">
        <f>+'Red C'!F45</f>
        <v>17765</v>
      </c>
      <c r="C73" s="347">
        <f>+B73*G57</f>
        <v>36418.25</v>
      </c>
      <c r="D73" s="200">
        <f>+'Red C'!D52</f>
        <v>408768.15</v>
      </c>
      <c r="E73" s="47">
        <f>+C73-D73</f>
        <v>-372349.9</v>
      </c>
      <c r="F73" s="364">
        <f>+'Red C'!A45</f>
        <v>37292</v>
      </c>
      <c r="G73" s="203" t="s">
        <v>153</v>
      </c>
      <c r="H73" s="32" t="s">
        <v>115</v>
      </c>
      <c r="I73" s="32"/>
      <c r="J73" s="32"/>
      <c r="K73" s="32"/>
    </row>
    <row r="74" spans="1:11" x14ac:dyDescent="0.25">
      <c r="A74" s="248" t="s">
        <v>289</v>
      </c>
      <c r="B74" s="368">
        <f>+Amoco!D40</f>
        <v>5725</v>
      </c>
      <c r="C74" s="346">
        <f>+B74*$G$3</f>
        <v>11736.249999999998</v>
      </c>
      <c r="D74" s="47">
        <f>+Amoco!D47</f>
        <v>346751.65</v>
      </c>
      <c r="E74" s="47">
        <f>+C74-D74</f>
        <v>-335015.40000000002</v>
      </c>
      <c r="F74" s="365">
        <f>+Amoco!A40</f>
        <v>37292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179</v>
      </c>
      <c r="B75" s="368">
        <f>+'El Paso'!E39</f>
        <v>10713</v>
      </c>
      <c r="C75" s="346">
        <f>+B75*$G$3</f>
        <v>21961.649999999998</v>
      </c>
      <c r="D75" s="47">
        <f>+'El Paso'!F46</f>
        <v>-657254.01</v>
      </c>
      <c r="E75" s="47">
        <f>+C75-D75</f>
        <v>679215.66</v>
      </c>
      <c r="F75" s="365">
        <f>+'El Paso'!A39</f>
        <v>37293</v>
      </c>
      <c r="G75" s="420" t="s">
        <v>154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70">
        <f>+NW!$F$41</f>
        <v>-3934</v>
      </c>
      <c r="C76" s="349">
        <f>+B76*$G$3</f>
        <v>-8064.6999999999989</v>
      </c>
      <c r="D76" s="349">
        <f>+NW!E49</f>
        <v>-469290.9</v>
      </c>
      <c r="E76" s="349">
        <f>+C76-D76</f>
        <v>461226.2</v>
      </c>
      <c r="F76" s="364">
        <f>+NW!B41</f>
        <v>37293</v>
      </c>
      <c r="G76" s="203" t="s">
        <v>153</v>
      </c>
      <c r="H76" s="32" t="s">
        <v>115</v>
      </c>
      <c r="I76" s="32"/>
      <c r="J76" s="32"/>
      <c r="K76" s="32"/>
    </row>
    <row r="77" spans="1:11" x14ac:dyDescent="0.25">
      <c r="A77" s="32" t="s">
        <v>157</v>
      </c>
      <c r="B77" s="393">
        <f>SUBTOTAL(9,B73:B76)</f>
        <v>30269</v>
      </c>
      <c r="C77" s="388">
        <f>SUBTOTAL(9,C73:C76)</f>
        <v>62051.45</v>
      </c>
      <c r="D77" s="388">
        <f>SUBTOTAL(9,D73:D76)</f>
        <v>-371025.11</v>
      </c>
      <c r="E77" s="388">
        <f>SUBTOTAL(9,E73:E76)</f>
        <v>433076.56</v>
      </c>
      <c r="F77" s="364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6" t="s">
        <v>159</v>
      </c>
      <c r="B79" s="286"/>
      <c r="C79" s="247"/>
      <c r="G79" s="203"/>
    </row>
    <row r="80" spans="1:11" x14ac:dyDescent="0.25">
      <c r="A80" s="248" t="s">
        <v>88</v>
      </c>
      <c r="B80" s="368">
        <f>+NGPL!F38</f>
        <v>134007</v>
      </c>
      <c r="C80" s="480">
        <f>+B80*$G$5</f>
        <v>274714.34999999998</v>
      </c>
      <c r="D80" s="47">
        <f>+NGPL!D45</f>
        <v>335456.90000000002</v>
      </c>
      <c r="E80" s="47">
        <f>+C80-D80</f>
        <v>-60742.550000000047</v>
      </c>
      <c r="F80" s="365">
        <f>+NGPL!A38</f>
        <v>37292</v>
      </c>
      <c r="G80" s="203" t="s">
        <v>153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8">
        <f>+PEPL!D41</f>
        <v>-1706</v>
      </c>
      <c r="C81" s="481">
        <f>+B81*$G$4</f>
        <v>-3497.2999999999997</v>
      </c>
      <c r="D81" s="47">
        <f>+PEPL!D47</f>
        <v>189421</v>
      </c>
      <c r="E81" s="47">
        <f>+C81-D81</f>
        <v>-192918.3</v>
      </c>
      <c r="F81" s="365">
        <f>+PEPL!A41</f>
        <v>37292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481">
        <f>+B82*$G$4</f>
        <v>36053.35</v>
      </c>
      <c r="D82" s="200">
        <f>+CIG!D49</f>
        <v>385897</v>
      </c>
      <c r="E82" s="70">
        <f>+C82-D82</f>
        <v>-349843.65</v>
      </c>
      <c r="F82" s="365">
        <f>+CIG!A42</f>
        <v>37290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5">
      <c r="A83" s="248" t="s">
        <v>31</v>
      </c>
      <c r="B83" s="372">
        <f>+Lonestar!F43</f>
        <v>47127</v>
      </c>
      <c r="C83" s="497">
        <f>+B83*G59</f>
        <v>96610.349999999991</v>
      </c>
      <c r="D83" s="349">
        <f>+Lonestar!D50</f>
        <v>57394.239999999998</v>
      </c>
      <c r="E83" s="349">
        <f>+C83-D83</f>
        <v>39216.109999999993</v>
      </c>
      <c r="F83" s="364">
        <f>+Lonestar!A43</f>
        <v>37293</v>
      </c>
      <c r="G83" s="32" t="s">
        <v>301</v>
      </c>
      <c r="H83" s="32" t="s">
        <v>102</v>
      </c>
      <c r="I83" s="32"/>
      <c r="J83" s="32"/>
      <c r="K83" s="32"/>
    </row>
    <row r="84" spans="1:12" x14ac:dyDescent="0.25">
      <c r="A84" s="2" t="s">
        <v>160</v>
      </c>
      <c r="B84" s="389">
        <f>SUBTOTAL(9,B80:B83)</f>
        <v>197015</v>
      </c>
      <c r="C84" s="388">
        <f>SUBTOTAL(9,C80:C83)</f>
        <v>403880.74999999994</v>
      </c>
      <c r="D84" s="388">
        <f>SUBTOTAL(9,D80:D83)</f>
        <v>968169.14</v>
      </c>
      <c r="E84" s="388">
        <f>SUBTOTAL(9,E80:E83)</f>
        <v>-564288.39</v>
      </c>
      <c r="F84" s="364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165</v>
      </c>
      <c r="B86" s="389">
        <f>SUBTOTAL(9,B66:B83)</f>
        <v>584113</v>
      </c>
      <c r="C86" s="388">
        <f>SUBTOTAL(9,C66:C83)</f>
        <v>1197431.6500000001</v>
      </c>
      <c r="D86" s="388">
        <f>SUBTOTAL(9,D66:D83)</f>
        <v>-654514.63000000012</v>
      </c>
      <c r="E86" s="388">
        <f>SUBTOTAL(9,E66:E83)</f>
        <v>1851946.2800000005</v>
      </c>
      <c r="F86" s="364"/>
      <c r="H86" s="32"/>
      <c r="I86" s="32"/>
      <c r="J86" s="32"/>
      <c r="K86" s="32"/>
    </row>
    <row r="87" spans="1:12" x14ac:dyDescent="0.25">
      <c r="A87" s="32"/>
      <c r="B87" s="346"/>
      <c r="C87" s="369"/>
      <c r="D87" s="346"/>
      <c r="E87" s="346"/>
      <c r="F87" s="364"/>
      <c r="H87" s="32"/>
      <c r="I87" s="32"/>
      <c r="J87" s="32"/>
      <c r="K87" s="32"/>
    </row>
    <row r="88" spans="1:12" x14ac:dyDescent="0.25">
      <c r="A88" s="32"/>
      <c r="B88" s="349"/>
      <c r="C88" s="368"/>
      <c r="D88" s="290"/>
      <c r="E88" s="290"/>
      <c r="F88" s="364"/>
      <c r="G88" s="32"/>
      <c r="I88" s="32"/>
      <c r="J88" s="32"/>
      <c r="K88" s="32"/>
      <c r="L88" s="32"/>
    </row>
    <row r="89" spans="1:12" ht="13.8" thickBot="1" x14ac:dyDescent="0.3">
      <c r="A89" s="2" t="s">
        <v>167</v>
      </c>
      <c r="B89" s="396">
        <f>+C86+B51</f>
        <v>2943971.61</v>
      </c>
      <c r="C89" s="206"/>
      <c r="D89" s="346"/>
      <c r="E89" s="346"/>
      <c r="F89" s="353"/>
      <c r="H89" s="32"/>
      <c r="I89" s="32"/>
      <c r="J89" s="32"/>
      <c r="K89" s="32"/>
    </row>
    <row r="90" spans="1:12" ht="13.8" thickTop="1" x14ac:dyDescent="0.25">
      <c r="A90" s="2" t="s">
        <v>168</v>
      </c>
      <c r="B90" s="14">
        <f>+B86+C51</f>
        <v>1436083.7121951219</v>
      </c>
      <c r="C90" s="371"/>
      <c r="D90" s="422"/>
      <c r="E90" s="290"/>
      <c r="F90" s="353"/>
      <c r="G90" s="32"/>
      <c r="H90" s="32"/>
      <c r="I90" s="32"/>
      <c r="J90" s="32"/>
    </row>
    <row r="91" spans="1:12" x14ac:dyDescent="0.25">
      <c r="A91" s="32"/>
      <c r="B91" s="47"/>
      <c r="C91" s="373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2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5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5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5">
      <c r="A129" s="32"/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30" sqref="C30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>
        <v>156008</v>
      </c>
      <c r="C9" s="411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>
        <v>152552</v>
      </c>
      <c r="C10" s="411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774538</v>
      </c>
      <c r="C37" s="411">
        <f>SUM(C6:C36)</f>
        <v>785311</v>
      </c>
      <c r="D37" s="411">
        <f>SUM(D6:D36)</f>
        <v>10773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37292</v>
      </c>
      <c r="B40" s="285"/>
      <c r="C40" s="436"/>
      <c r="D40" s="307">
        <f>+D39+D37</f>
        <v>5725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92">
        <v>324667</v>
      </c>
    </row>
    <row r="46" spans="1:16" x14ac:dyDescent="0.25">
      <c r="A46" s="49">
        <f>+A40</f>
        <v>37292</v>
      </c>
      <c r="B46" s="32"/>
      <c r="C46" s="32"/>
      <c r="D46" s="375">
        <f>+D37*'by type_area'!G3</f>
        <v>22084.649999999998</v>
      </c>
    </row>
    <row r="47" spans="1:16" x14ac:dyDescent="0.25">
      <c r="A47" s="32"/>
      <c r="B47" s="32"/>
      <c r="C47" s="32"/>
      <c r="D47" s="200">
        <f>+D46+D45</f>
        <v>346751.65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A41" sqref="A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51">
        <v>-2500</v>
      </c>
      <c r="D8" s="24">
        <f t="shared" si="0"/>
        <v>-2500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-56746</v>
      </c>
      <c r="C36" s="24">
        <f>SUM(C5:C35)</f>
        <v>-57500</v>
      </c>
      <c r="D36" s="24">
        <f t="shared" si="0"/>
        <v>-754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2.0499999999999998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-1545.6999999999998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37292</v>
      </c>
      <c r="B40"/>
      <c r="C40" s="48"/>
      <c r="D40" s="138">
        <f>+D39+D38</f>
        <v>-137102.70000000001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523">
        <v>-67034</v>
      </c>
    </row>
    <row r="46" spans="1:65" x14ac:dyDescent="0.25">
      <c r="A46" s="49">
        <f>+A40</f>
        <v>37292</v>
      </c>
      <c r="B46" s="32"/>
      <c r="C46" s="32"/>
      <c r="D46" s="350">
        <f>+D36</f>
        <v>-754</v>
      </c>
    </row>
    <row r="47" spans="1:65" x14ac:dyDescent="0.25">
      <c r="A47" s="32"/>
      <c r="B47" s="32"/>
      <c r="C47" s="32"/>
      <c r="D47" s="14">
        <f>+D46+D45</f>
        <v>-67788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5" workbookViewId="0">
      <selection activeCell="C7" sqref="C7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199612</v>
      </c>
      <c r="C5" s="90">
        <v>197588</v>
      </c>
      <c r="D5" s="90">
        <f>+C5-B5</f>
        <v>-2024</v>
      </c>
      <c r="E5" s="275"/>
      <c r="F5" s="273"/>
    </row>
    <row r="6" spans="1:13" x14ac:dyDescent="0.25">
      <c r="A6" s="87">
        <v>78311</v>
      </c>
      <c r="B6" s="90">
        <v>70415</v>
      </c>
      <c r="C6" s="90">
        <v>73200</v>
      </c>
      <c r="D6" s="90">
        <f t="shared" ref="D6:D17" si="0">+C6-B6</f>
        <v>2785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186877</v>
      </c>
      <c r="C7" s="90">
        <v>227463</v>
      </c>
      <c r="D7" s="90">
        <f t="shared" si="0"/>
        <v>40586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209128</v>
      </c>
      <c r="C8" s="90">
        <v>227046</v>
      </c>
      <c r="D8" s="90">
        <f t="shared" si="0"/>
        <v>17918</v>
      </c>
      <c r="E8" s="456"/>
      <c r="F8" s="273"/>
    </row>
    <row r="9" spans="1:13" x14ac:dyDescent="0.25">
      <c r="A9" s="87">
        <v>500293</v>
      </c>
      <c r="B9" s="90">
        <v>106679</v>
      </c>
      <c r="C9" s="90">
        <v>121590</v>
      </c>
      <c r="D9" s="90">
        <f t="shared" si="0"/>
        <v>14911</v>
      </c>
      <c r="E9" s="275"/>
      <c r="F9" s="273"/>
    </row>
    <row r="10" spans="1:13" x14ac:dyDescent="0.25">
      <c r="A10" s="87">
        <v>500302</v>
      </c>
      <c r="B10" s="90"/>
      <c r="C10" s="90">
        <v>1818</v>
      </c>
      <c r="D10" s="90">
        <f t="shared" si="0"/>
        <v>1818</v>
      </c>
      <c r="E10" s="275"/>
      <c r="F10" s="273"/>
    </row>
    <row r="11" spans="1:13" x14ac:dyDescent="0.25">
      <c r="A11" s="87">
        <v>500303</v>
      </c>
      <c r="B11" s="90"/>
      <c r="C11" s="90">
        <v>4877</v>
      </c>
      <c r="D11" s="90">
        <f t="shared" si="0"/>
        <v>4877</v>
      </c>
      <c r="E11" s="275"/>
      <c r="F11" s="273"/>
    </row>
    <row r="12" spans="1:13" x14ac:dyDescent="0.25">
      <c r="A12" s="91">
        <v>500305</v>
      </c>
      <c r="B12" s="90">
        <v>252752</v>
      </c>
      <c r="C12" s="90">
        <v>316140</v>
      </c>
      <c r="D12" s="90">
        <f t="shared" si="0"/>
        <v>63388</v>
      </c>
      <c r="E12" s="276"/>
      <c r="F12" s="467"/>
      <c r="G12" s="90"/>
    </row>
    <row r="13" spans="1:13" x14ac:dyDescent="0.25">
      <c r="A13" s="87">
        <v>500307</v>
      </c>
      <c r="B13" s="90">
        <v>19943</v>
      </c>
      <c r="C13" s="90">
        <v>10640</v>
      </c>
      <c r="D13" s="90">
        <f t="shared" si="0"/>
        <v>-9303</v>
      </c>
      <c r="E13" s="275"/>
      <c r="F13" s="273"/>
    </row>
    <row r="14" spans="1:13" x14ac:dyDescent="0.25">
      <c r="A14" s="87">
        <v>500313</v>
      </c>
      <c r="B14" s="90"/>
      <c r="C14" s="90">
        <v>505</v>
      </c>
      <c r="D14" s="90">
        <f t="shared" si="0"/>
        <v>505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37311</v>
      </c>
      <c r="C16" s="90"/>
      <c r="D16" s="90">
        <f t="shared" si="0"/>
        <v>-37311</v>
      </c>
      <c r="E16" s="275"/>
      <c r="F16" s="273"/>
    </row>
    <row r="17" spans="1:7" x14ac:dyDescent="0.25">
      <c r="A17" s="87">
        <v>500657</v>
      </c>
      <c r="B17" s="88">
        <v>8831</v>
      </c>
      <c r="C17" s="88"/>
      <c r="D17" s="94">
        <f t="shared" si="0"/>
        <v>-8831</v>
      </c>
      <c r="E17" s="275"/>
      <c r="F17" s="273"/>
      <c r="G17" s="595"/>
    </row>
    <row r="18" spans="1:7" x14ac:dyDescent="0.25">
      <c r="A18" s="87"/>
      <c r="B18" s="88"/>
      <c r="C18" s="88"/>
      <c r="D18" s="88">
        <f>SUM(D5:D17)</f>
        <v>89319</v>
      </c>
      <c r="E18" s="275"/>
      <c r="F18" s="467"/>
    </row>
    <row r="19" spans="1:7" x14ac:dyDescent="0.25">
      <c r="A19" s="87" t="s">
        <v>81</v>
      </c>
      <c r="B19" s="88"/>
      <c r="C19" s="88"/>
      <c r="D19" s="95">
        <f>+summary!G5</f>
        <v>2.0499999999999998</v>
      </c>
      <c r="E19" s="277"/>
      <c r="F19" s="467"/>
    </row>
    <row r="20" spans="1:7" x14ac:dyDescent="0.25">
      <c r="A20" s="87"/>
      <c r="B20" s="88"/>
      <c r="C20" s="88"/>
      <c r="D20" s="96">
        <f>+D19*D18</f>
        <v>183103.94999999998</v>
      </c>
      <c r="E20" s="207"/>
      <c r="F20" s="467"/>
    </row>
    <row r="21" spans="1:7" x14ac:dyDescent="0.25">
      <c r="A21" s="87"/>
      <c r="B21" s="88"/>
      <c r="C21" s="88"/>
      <c r="D21" s="96"/>
      <c r="E21" s="207"/>
      <c r="F21" s="201"/>
    </row>
    <row r="22" spans="1:7" x14ac:dyDescent="0.25">
      <c r="A22" s="99">
        <v>37287</v>
      </c>
      <c r="B22" s="88"/>
      <c r="C22" s="88"/>
      <c r="D22" s="529">
        <v>121933.25</v>
      </c>
      <c r="E22" s="207"/>
      <c r="F22" s="468"/>
    </row>
    <row r="23" spans="1:7" x14ac:dyDescent="0.25">
      <c r="A23" s="87"/>
      <c r="B23" s="88"/>
      <c r="C23" s="88"/>
      <c r="D23" s="308"/>
      <c r="E23" s="207"/>
      <c r="F23" s="468"/>
    </row>
    <row r="24" spans="1:7" ht="13.8" thickBot="1" x14ac:dyDescent="0.3">
      <c r="A24" s="99">
        <v>37293</v>
      </c>
      <c r="B24" s="88"/>
      <c r="C24" s="88"/>
      <c r="D24" s="318">
        <f>+D22+D20</f>
        <v>305037.19999999995</v>
      </c>
      <c r="E24" s="207"/>
      <c r="F24" s="468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5"/>
    </row>
    <row r="29" spans="1:7" x14ac:dyDescent="0.25">
      <c r="A29" s="49">
        <f>+A22</f>
        <v>37287</v>
      </c>
      <c r="B29" s="32"/>
      <c r="C29" s="32"/>
      <c r="D29" s="523">
        <v>70617</v>
      </c>
    </row>
    <row r="30" spans="1:7" x14ac:dyDescent="0.25">
      <c r="A30" s="49">
        <f>+A24</f>
        <v>37293</v>
      </c>
      <c r="B30" s="32"/>
      <c r="C30" s="32"/>
      <c r="D30" s="350">
        <f>+D18</f>
        <v>89319</v>
      </c>
    </row>
    <row r="31" spans="1:7" x14ac:dyDescent="0.25">
      <c r="A31" s="32"/>
      <c r="B31" s="32"/>
      <c r="C31" s="32"/>
      <c r="D31" s="14">
        <f>+D30+D29</f>
        <v>159936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5" workbookViewId="0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1</v>
      </c>
      <c r="E8" s="11"/>
      <c r="F8" s="25">
        <f t="shared" si="2"/>
        <v>2915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24564</v>
      </c>
      <c r="E9" s="11">
        <v>24300</v>
      </c>
      <c r="F9" s="25">
        <f t="shared" si="2"/>
        <v>-2741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350438</v>
      </c>
      <c r="C35" s="11">
        <f>SUM(C4:C34)</f>
        <v>336299</v>
      </c>
      <c r="D35" s="11">
        <f>SUM(D4:D34)</f>
        <v>24566</v>
      </c>
      <c r="E35" s="11">
        <f>SUM(E4:E34)</f>
        <v>24300</v>
      </c>
      <c r="F35" s="11">
        <f>+E35-D35+C35-B35</f>
        <v>-14405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2.0499999999999998</v>
      </c>
    </row>
    <row r="38" spans="1:7" x14ac:dyDescent="0.2">
      <c r="C38" s="48"/>
      <c r="D38" s="47"/>
      <c r="E38" s="48"/>
      <c r="F38" s="46">
        <f>+F37*F35</f>
        <v>-29530.249999999996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37293</v>
      </c>
      <c r="C41" s="106"/>
      <c r="D41" s="106"/>
      <c r="E41" s="106"/>
      <c r="F41" s="106">
        <f>+F38+F40</f>
        <v>436705.88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37293</v>
      </c>
      <c r="D47" s="350">
        <f>+F35</f>
        <v>-14405</v>
      </c>
      <c r="E47" s="11"/>
      <c r="F47" s="11"/>
      <c r="G47" s="25"/>
    </row>
    <row r="48" spans="1:7" x14ac:dyDescent="0.2">
      <c r="D48" s="14">
        <f>+D47+D46</f>
        <v>6355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1072349</v>
      </c>
      <c r="C36" s="11">
        <f>SUM(C5:C35)</f>
        <v>1083757</v>
      </c>
      <c r="D36" s="11">
        <f>SUM(D5:D35)</f>
        <v>0</v>
      </c>
      <c r="E36" s="11">
        <f>SUM(E5:E35)</f>
        <v>-17166</v>
      </c>
      <c r="F36" s="11">
        <f>SUM(F5:F35)</f>
        <v>-5758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37293</v>
      </c>
      <c r="F41" s="333">
        <f>+F39+F36</f>
        <v>-3934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37293</v>
      </c>
      <c r="C48" s="32"/>
      <c r="D48" s="32"/>
      <c r="E48" s="375">
        <f>+F36*'by type_area'!G3</f>
        <v>-11803.9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-469290.9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5">
      <c r="A40" s="26"/>
      <c r="D40" s="75">
        <f>+summary!G4</f>
        <v>2.0499999999999998</v>
      </c>
      <c r="E40" s="26"/>
      <c r="H40" s="75"/>
    </row>
    <row r="41" spans="1:8" x14ac:dyDescent="0.25">
      <c r="D41" s="195">
        <f>+D40*D39</f>
        <v>3105.7499999999995</v>
      </c>
      <c r="F41" s="247"/>
      <c r="H41" s="195"/>
    </row>
    <row r="42" spans="1:8" x14ac:dyDescent="0.25">
      <c r="A42" s="57">
        <v>37287</v>
      </c>
      <c r="D42" s="552">
        <v>28675</v>
      </c>
      <c r="E42" s="57"/>
      <c r="H42" s="195"/>
    </row>
    <row r="43" spans="1:8" x14ac:dyDescent="0.25">
      <c r="A43" s="57">
        <v>37292</v>
      </c>
      <c r="D43" s="196">
        <f>+D42+D41</f>
        <v>31780.75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23">
        <v>-42160</v>
      </c>
    </row>
    <row r="49" spans="1:4" x14ac:dyDescent="0.25">
      <c r="A49" s="49">
        <f>+A43</f>
        <v>37292</v>
      </c>
      <c r="B49" s="32"/>
      <c r="C49" s="32"/>
      <c r="D49" s="350">
        <f>+D39</f>
        <v>1515</v>
      </c>
    </row>
    <row r="50" spans="1:4" x14ac:dyDescent="0.25">
      <c r="A50" s="32"/>
      <c r="B50" s="32"/>
      <c r="C50" s="32"/>
      <c r="D50" s="14">
        <f>+D49+D48</f>
        <v>-40645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65" workbookViewId="0">
      <selection activeCell="D77" sqref="D77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250</v>
      </c>
      <c r="J6" s="15"/>
    </row>
    <row r="7" spans="1:14" x14ac:dyDescent="0.25">
      <c r="A7" s="57">
        <v>37290</v>
      </c>
      <c r="I7" s="3" t="s">
        <v>256</v>
      </c>
      <c r="J7" s="15"/>
    </row>
    <row r="8" spans="1:14" x14ac:dyDescent="0.25">
      <c r="A8" s="248">
        <v>50895</v>
      </c>
      <c r="B8" s="340">
        <f>210+210+210-228-222-78</f>
        <v>102</v>
      </c>
      <c r="J8" s="15"/>
    </row>
    <row r="9" spans="1:14" x14ac:dyDescent="0.25">
      <c r="A9" s="248">
        <v>60874</v>
      </c>
      <c r="B9" s="340">
        <v>283</v>
      </c>
      <c r="J9" s="15"/>
    </row>
    <row r="10" spans="1:14" x14ac:dyDescent="0.25">
      <c r="A10" s="248">
        <v>78169</v>
      </c>
      <c r="B10" s="340">
        <f>11718+11725+11724-38466</f>
        <v>-3299</v>
      </c>
      <c r="I10" s="87" t="s">
        <v>251</v>
      </c>
      <c r="J10" s="483" t="s">
        <v>27</v>
      </c>
      <c r="K10" s="87" t="s">
        <v>252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500+500+500-872</f>
        <v>628</v>
      </c>
      <c r="I13" s="87">
        <v>21665</v>
      </c>
      <c r="J13" s="446">
        <v>73449.16</v>
      </c>
      <c r="K13" s="87" t="s">
        <v>255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/>
      <c r="I14" s="87">
        <v>22664</v>
      </c>
      <c r="J14" s="449">
        <v>23612.35</v>
      </c>
      <c r="K14" s="87" t="s">
        <v>257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135+135+135-414-502-508</f>
        <v>-1019</v>
      </c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>
        <f>53779+53810+53810-60373-62145-56543</f>
        <v>-17662</v>
      </c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-20968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2.0499999999999998</v>
      </c>
      <c r="C19" s="199">
        <f>+B19*B18</f>
        <v>-42984.399999999994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1465769.59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37290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2.0499999999999998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5">
      <c r="E39" s="49">
        <f>+A7</f>
        <v>37290</v>
      </c>
      <c r="F39" s="350">
        <f>+B18</f>
        <v>-20968</v>
      </c>
      <c r="G39" s="350">
        <f>+B31</f>
        <v>0</v>
      </c>
      <c r="H39" s="350">
        <f>+B46</f>
        <v>529</v>
      </c>
      <c r="I39" s="14"/>
    </row>
    <row r="40" spans="1:9" x14ac:dyDescent="0.25">
      <c r="A40" s="49">
        <v>37287</v>
      </c>
      <c r="C40" s="545">
        <v>855876.1</v>
      </c>
      <c r="F40" s="14">
        <f>+F39+F38</f>
        <v>346821</v>
      </c>
      <c r="G40" s="14">
        <f>+G39+G38</f>
        <v>117857</v>
      </c>
      <c r="H40" s="14">
        <f>+H39+H38</f>
        <v>193964</v>
      </c>
      <c r="I40" s="14">
        <f>+H40+G40+F40</f>
        <v>658642</v>
      </c>
    </row>
    <row r="41" spans="1:9" x14ac:dyDescent="0.25">
      <c r="G41" s="32"/>
      <c r="H41" s="15"/>
      <c r="I41" s="32"/>
    </row>
    <row r="42" spans="1:9" x14ac:dyDescent="0.25">
      <c r="A42" s="245">
        <v>37290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252</v>
      </c>
      <c r="G44" s="32"/>
      <c r="H44" s="381"/>
      <c r="I44" s="14"/>
    </row>
    <row r="45" spans="1:9" x14ac:dyDescent="0.25">
      <c r="A45" s="32">
        <v>500392</v>
      </c>
      <c r="B45" s="250">
        <v>277</v>
      </c>
      <c r="G45" s="32"/>
      <c r="H45" s="381"/>
      <c r="I45" s="14"/>
    </row>
    <row r="46" spans="1:9" x14ac:dyDescent="0.25">
      <c r="B46" s="14">
        <f>SUM(B43:B45)</f>
        <v>529</v>
      </c>
      <c r="G46" s="32"/>
      <c r="H46" s="381"/>
      <c r="I46" s="14"/>
    </row>
    <row r="47" spans="1:9" x14ac:dyDescent="0.25">
      <c r="B47" s="199">
        <f>+summary!G5</f>
        <v>2.0499999999999998</v>
      </c>
      <c r="C47" s="199">
        <f>+B47*B46</f>
        <v>1084.4499999999998</v>
      </c>
      <c r="H47" s="381"/>
      <c r="I47" s="14"/>
    </row>
    <row r="48" spans="1:9" x14ac:dyDescent="0.25">
      <c r="C48" s="321">
        <f>+C47+C40</f>
        <v>856960.54999999993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5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2695101.29</v>
      </c>
      <c r="I57" s="14">
        <f>SUM(I40:I54)</f>
        <v>713975</v>
      </c>
    </row>
    <row r="61" spans="1:9" x14ac:dyDescent="0.25">
      <c r="C61" s="15">
        <f>+DEFS!F49</f>
        <v>-2824423.4800000004</v>
      </c>
    </row>
    <row r="62" spans="1:9" x14ac:dyDescent="0.25">
      <c r="C62" s="15">
        <f>+C61+C57</f>
        <v>-129322.19000000041</v>
      </c>
      <c r="I62" s="31">
        <f>+I57+DEFS!K49</f>
        <v>266522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1465769.59</v>
      </c>
      <c r="C72" s="14">
        <f>+F40</f>
        <v>346821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856960.54999999993</v>
      </c>
      <c r="C74" s="14">
        <f>+H40</f>
        <v>193964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-1035395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-620192.15</v>
      </c>
      <c r="C78" s="14">
        <f>+DEFS!J36</f>
        <v>-151764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-1164285.8</v>
      </c>
      <c r="C82" s="14">
        <f>+DEFS!K48</f>
        <v>-152764</v>
      </c>
    </row>
    <row r="83" spans="1:3" x14ac:dyDescent="0.25">
      <c r="B83" s="15">
        <f>SUM(B72:B82)</f>
        <v>-129322.19000000006</v>
      </c>
      <c r="C83" s="16">
        <f>SUM(C72:C82)</f>
        <v>266522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2" workbookViewId="0">
      <selection activeCell="F45" sqref="F45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5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5">
      <c r="C37" s="313">
        <f>+summary!G5</f>
        <v>2.0499999999999998</v>
      </c>
      <c r="E37" s="104">
        <f>+C37</f>
        <v>2.0499999999999998</v>
      </c>
      <c r="F37" s="138">
        <f>+F36*E37</f>
        <v>-3942.1499999999996</v>
      </c>
    </row>
    <row r="38" spans="1:13" x14ac:dyDescent="0.25">
      <c r="C38" s="138">
        <f>+C37*C36</f>
        <v>0</v>
      </c>
      <c r="E38" s="136">
        <f>+E37*E36</f>
        <v>-3942.1499999999996</v>
      </c>
      <c r="F38" s="138">
        <f>+E38+C38</f>
        <v>-3942.1499999999996</v>
      </c>
    </row>
    <row r="39" spans="1:13" x14ac:dyDescent="0.25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5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-620192.15</v>
      </c>
      <c r="F40" s="314">
        <f>+E40+C40</f>
        <v>-1655587.15</v>
      </c>
      <c r="H40" s="131"/>
    </row>
    <row r="41" spans="1:13" x14ac:dyDescent="0.25">
      <c r="C41" s="329"/>
      <c r="D41" s="246"/>
      <c r="E41" s="246"/>
      <c r="H41" s="31">
        <f>+C39+E39+F45+F46+F47+F48</f>
        <v>-2820481.33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5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5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5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5">
      <c r="C49" s="246"/>
      <c r="D49" s="246"/>
      <c r="F49" s="330">
        <f>SUM(F40:F48)</f>
        <v>-2824423.4800000004</v>
      </c>
      <c r="G49" s="246"/>
      <c r="K49" s="14">
        <f>SUM(K36:K48)</f>
        <v>-447453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2695101.29</v>
      </c>
      <c r="M51" s="14">
        <f>+Duke!I57</f>
        <v>713975</v>
      </c>
    </row>
    <row r="53" spans="3:13" x14ac:dyDescent="0.25">
      <c r="F53" s="104">
        <f>+F51+F49</f>
        <v>-129322.19000000041</v>
      </c>
      <c r="M53" s="16">
        <f>+M51+K49</f>
        <v>266522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-1035395</v>
      </c>
    </row>
    <row r="74" spans="1:3" x14ac:dyDescent="0.25">
      <c r="A74">
        <v>22051</v>
      </c>
      <c r="B74" s="31">
        <f>+J36</f>
        <v>-151764</v>
      </c>
      <c r="C74" s="247">
        <f>+E40</f>
        <v>-620192.15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193964</v>
      </c>
      <c r="C77" s="259">
        <f>+Duke!C48</f>
        <v>856960.54999999993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346821</v>
      </c>
      <c r="C79" s="259">
        <f>+Duke!C20</f>
        <v>1465769.59</v>
      </c>
    </row>
    <row r="81" spans="2:3" x14ac:dyDescent="0.25">
      <c r="B81" s="31">
        <f>SUM(B68:B80)</f>
        <v>266522</v>
      </c>
      <c r="C81" s="259">
        <f>SUM(C68:C80)</f>
        <v>-129322.18999999994</v>
      </c>
    </row>
    <row r="82" spans="2:3" x14ac:dyDescent="0.25">
      <c r="C82">
        <f>+C81/B81</f>
        <v>-0.48522144513398496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workbookViewId="0">
      <selection activeCell="B13" sqref="B13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5231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-590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32834</v>
      </c>
      <c r="C39" s="11">
        <f t="shared" si="1"/>
        <v>33566</v>
      </c>
      <c r="D39" s="11">
        <f t="shared" si="1"/>
        <v>208</v>
      </c>
      <c r="E39" s="11">
        <f t="shared" si="1"/>
        <v>36</v>
      </c>
      <c r="F39" s="129">
        <f t="shared" si="1"/>
        <v>5394</v>
      </c>
      <c r="G39" s="11">
        <f t="shared" si="1"/>
        <v>3486</v>
      </c>
      <c r="H39" s="11">
        <f t="shared" si="1"/>
        <v>9106</v>
      </c>
      <c r="I39" s="11">
        <f t="shared" si="1"/>
        <v>5370</v>
      </c>
      <c r="J39" s="25">
        <f t="shared" si="1"/>
        <v>-5084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2.0499999999999998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-10422.199999999999</v>
      </c>
      <c r="L41"/>
      <c r="R41" s="138"/>
      <c r="X41" s="138"/>
    </row>
    <row r="42" spans="1:24" x14ac:dyDescent="0.25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37293</v>
      </c>
      <c r="C43" s="48"/>
      <c r="J43" s="138">
        <f>+J42+J41</f>
        <v>332962.8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23">
        <v>136432</v>
      </c>
      <c r="L47"/>
    </row>
    <row r="48" spans="1:24" x14ac:dyDescent="0.25">
      <c r="A48" s="49">
        <f>+A43</f>
        <v>37293</v>
      </c>
      <c r="B48" s="32"/>
      <c r="C48" s="32"/>
      <c r="D48" s="350">
        <f>+J39</f>
        <v>-5084</v>
      </c>
      <c r="L48"/>
    </row>
    <row r="49" spans="1:12" x14ac:dyDescent="0.25">
      <c r="A49" s="32"/>
      <c r="B49" s="32"/>
      <c r="C49" s="32"/>
      <c r="D49" s="14">
        <f>+D48+D47</f>
        <v>131348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6" workbookViewId="0">
      <selection activeCell="D11" sqref="D11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/>
      <c r="C10" s="411"/>
      <c r="D10" s="411">
        <v>-155</v>
      </c>
      <c r="E10" s="411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/>
      <c r="C11" s="411"/>
      <c r="D11" s="411">
        <v>-323</v>
      </c>
      <c r="E11" s="411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>
        <v>-384</v>
      </c>
      <c r="E12" s="411"/>
      <c r="F12" s="307">
        <f t="shared" si="0"/>
        <v>384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0</v>
      </c>
      <c r="C39" s="411">
        <f>SUM(C8:C38)</f>
        <v>0</v>
      </c>
      <c r="D39" s="411">
        <f>SUM(D8:D38)</f>
        <v>-1185</v>
      </c>
      <c r="E39" s="411">
        <f>SUM(E8:E38)</f>
        <v>0</v>
      </c>
      <c r="F39" s="411">
        <f>SUM(F8:F38)</f>
        <v>1185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2.0499999999999998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2429.25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37292</v>
      </c>
      <c r="B43" s="285"/>
      <c r="C43" s="436"/>
      <c r="D43" s="436"/>
      <c r="E43" s="436"/>
      <c r="F43" s="417">
        <f>+F42+F41</f>
        <v>154663.88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523">
        <v>-368359</v>
      </c>
      <c r="E47" s="11"/>
    </row>
    <row r="48" spans="1:26" x14ac:dyDescent="0.25">
      <c r="A48" s="49">
        <f>+A43</f>
        <v>37292</v>
      </c>
      <c r="B48" s="32"/>
      <c r="C48" s="32"/>
      <c r="D48" s="350">
        <f>+F39</f>
        <v>1185</v>
      </c>
      <c r="E48" s="11"/>
    </row>
    <row r="49" spans="1:5" x14ac:dyDescent="0.25">
      <c r="A49" s="32"/>
      <c r="B49" s="32"/>
      <c r="C49" s="32"/>
      <c r="D49" s="14">
        <f>+D48+D47</f>
        <v>-367174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44" workbookViewId="0">
      <selection activeCell="B61" sqref="B61:C61"/>
    </sheetView>
  </sheetViews>
  <sheetFormatPr defaultColWidth="9.109375" defaultRowHeight="13.2" x14ac:dyDescent="0.25"/>
  <cols>
    <col min="1" max="1" width="25.88671875" style="285" customWidth="1"/>
    <col min="2" max="2" width="11.109375" style="581" bestFit="1" customWidth="1"/>
    <col min="3" max="3" width="9.6640625" style="582" customWidth="1"/>
    <col min="4" max="4" width="5.109375" style="583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5" bestFit="1" customWidth="1"/>
    <col min="15" max="15" width="9" style="586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4"/>
    </row>
    <row r="3" spans="1:33" ht="15" customHeight="1" x14ac:dyDescent="0.25">
      <c r="F3" s="587" t="s">
        <v>29</v>
      </c>
      <c r="G3" s="588">
        <f>+'[3]1001'!$K$39</f>
        <v>2.0499999999999998</v>
      </c>
      <c r="J3" s="374">
        <f ca="1">NOW()</f>
        <v>37295.541921875003</v>
      </c>
    </row>
    <row r="4" spans="1:33" ht="15" customHeight="1" x14ac:dyDescent="0.25">
      <c r="A4" s="34" t="s">
        <v>145</v>
      </c>
      <c r="C4" s="34" t="s">
        <v>5</v>
      </c>
      <c r="F4" s="589" t="s">
        <v>30</v>
      </c>
      <c r="G4" s="590">
        <f>+'[3]1001'!$M$39</f>
        <v>2.0499999999999998</v>
      </c>
    </row>
    <row r="5" spans="1:33" ht="15" customHeight="1" x14ac:dyDescent="0.25">
      <c r="B5" s="591"/>
      <c r="F5" s="587" t="s">
        <v>117</v>
      </c>
      <c r="G5" s="588">
        <f>+'[3]1001'!$H$39</f>
        <v>2.0499999999999998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299</v>
      </c>
      <c r="G7" s="338" t="s">
        <v>101</v>
      </c>
      <c r="H7" s="335" t="s">
        <v>98</v>
      </c>
    </row>
    <row r="8" spans="1:33" ht="15" customHeight="1" x14ac:dyDescent="0.25">
      <c r="A8" s="32" t="s">
        <v>82</v>
      </c>
      <c r="B8" s="346">
        <f>+PNM!$D$23</f>
        <v>822219.53</v>
      </c>
      <c r="C8" s="275">
        <f>+B8/$G$4</f>
        <v>401082.69756097568</v>
      </c>
      <c r="D8" s="365">
        <f>+PNM!A23</f>
        <v>37293</v>
      </c>
      <c r="E8" s="32" t="s">
        <v>85</v>
      </c>
      <c r="F8" s="32" t="s">
        <v>300</v>
      </c>
      <c r="G8" s="32" t="s">
        <v>115</v>
      </c>
      <c r="H8" s="32"/>
      <c r="I8" s="32"/>
      <c r="J8" s="32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346">
        <f>+Conoco!$F$41</f>
        <v>436705.88</v>
      </c>
      <c r="C9" s="275">
        <f>+B9/$G$4</f>
        <v>213027.25853658537</v>
      </c>
      <c r="D9" s="364">
        <f>+Conoco!A41</f>
        <v>37293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80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94</v>
      </c>
      <c r="B10" s="346">
        <f>+C10*$G$4</f>
        <v>368706.85</v>
      </c>
      <c r="C10" s="275">
        <f>+Mojave!D40</f>
        <v>179857</v>
      </c>
      <c r="D10" s="365">
        <f>+Mojave!A40</f>
        <v>37291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2</v>
      </c>
      <c r="B11" s="346">
        <f>+mewborne!$J$43</f>
        <v>332962.8</v>
      </c>
      <c r="C11" s="275">
        <f>+B11/$G$4</f>
        <v>162420.87804878049</v>
      </c>
      <c r="D11" s="365">
        <f>+mewborne!A43</f>
        <v>37293</v>
      </c>
      <c r="E11" s="32" t="s">
        <v>85</v>
      </c>
      <c r="F11" s="32" t="s">
        <v>300</v>
      </c>
      <c r="G11" s="32" t="s">
        <v>99</v>
      </c>
      <c r="H11" s="32"/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443" t="s">
        <v>79</v>
      </c>
      <c r="B12" s="509">
        <f>+Agave!$D$24</f>
        <v>305037.19999999995</v>
      </c>
      <c r="C12" s="464">
        <f>+B12/$G$4</f>
        <v>148798.63414634144</v>
      </c>
      <c r="D12" s="463">
        <f>+Agave!A24</f>
        <v>37293</v>
      </c>
      <c r="E12" s="443" t="s">
        <v>85</v>
      </c>
      <c r="F12" s="443" t="s">
        <v>301</v>
      </c>
      <c r="G12" s="443" t="s">
        <v>102</v>
      </c>
      <c r="H12" s="443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107</v>
      </c>
      <c r="B13" s="346">
        <f>+KN_Westar!F41</f>
        <v>295806.83</v>
      </c>
      <c r="C13" s="275">
        <f>+B13/$G$4</f>
        <v>144296.01463414636</v>
      </c>
      <c r="D13" s="365">
        <f>+KN_Westar!A41</f>
        <v>37287</v>
      </c>
      <c r="E13" s="32" t="s">
        <v>85</v>
      </c>
      <c r="F13" s="32" t="s">
        <v>154</v>
      </c>
      <c r="G13" s="32" t="s">
        <v>100</v>
      </c>
      <c r="H13" s="32"/>
      <c r="I13" s="32"/>
      <c r="J13" s="32"/>
      <c r="K13" s="32"/>
      <c r="L13" s="32"/>
      <c r="M13" s="32"/>
      <c r="N13" s="380" t="e">
        <f>+#REF!+#REF!+B42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88</v>
      </c>
      <c r="B14" s="346">
        <f>+C14*$G$5</f>
        <v>274714.34999999998</v>
      </c>
      <c r="C14" s="275">
        <f>+NGPL!F38</f>
        <v>134007</v>
      </c>
      <c r="D14" s="365">
        <f>+NGPL!A38</f>
        <v>37292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207</v>
      </c>
      <c r="B15" s="346">
        <f>+Dominion!D41</f>
        <v>173999.15</v>
      </c>
      <c r="C15" s="275">
        <f>+B15/$G$5</f>
        <v>84877.634146341472</v>
      </c>
      <c r="D15" s="365">
        <f>+Dominion!A41</f>
        <v>37293</v>
      </c>
      <c r="E15" s="32" t="s">
        <v>85</v>
      </c>
      <c r="F15" s="32" t="s">
        <v>300</v>
      </c>
      <c r="G15" s="32" t="s">
        <v>99</v>
      </c>
      <c r="H15" s="32"/>
      <c r="I15" s="32"/>
      <c r="J15" s="32"/>
      <c r="K15" s="32"/>
      <c r="L15" s="32"/>
      <c r="M15" s="32"/>
      <c r="N15" s="380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04" t="s">
        <v>32</v>
      </c>
      <c r="B16" s="346">
        <f>+C16*$G$4</f>
        <v>158005.79999999999</v>
      </c>
      <c r="C16" s="206">
        <f>+SoCal!F40</f>
        <v>77076</v>
      </c>
      <c r="D16" s="364">
        <f>+SoCal!A40</f>
        <v>37293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3</v>
      </c>
      <c r="B17" s="346">
        <f>+'Amoco Abo'!$F$43</f>
        <v>154663.88</v>
      </c>
      <c r="C17" s="275">
        <f>+B17/$G$4</f>
        <v>75445.795121951232</v>
      </c>
      <c r="D17" s="365">
        <f>+'Amoco Abo'!A43</f>
        <v>37292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204" t="s">
        <v>33</v>
      </c>
      <c r="B18" s="346">
        <f>+'El Paso'!C39*summary!G4+'El Paso'!E39*summary!G3</f>
        <v>153713.09999999998</v>
      </c>
      <c r="C18" s="275">
        <f>+'El Paso'!H39</f>
        <v>74982</v>
      </c>
      <c r="D18" s="364">
        <f>+'El Paso'!A39</f>
        <v>37293</v>
      </c>
      <c r="E18" s="204" t="s">
        <v>84</v>
      </c>
      <c r="F18" s="204" t="s">
        <v>154</v>
      </c>
      <c r="G18" s="204" t="s">
        <v>100</v>
      </c>
      <c r="H18" s="204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210</v>
      </c>
      <c r="B19" s="346">
        <f>+Devon!D41</f>
        <v>131917.70000000001</v>
      </c>
      <c r="C19" s="275">
        <f>+B19/$G$5</f>
        <v>64350.097560975621</v>
      </c>
      <c r="D19" s="365">
        <f>+Devon!A41</f>
        <v>37293</v>
      </c>
      <c r="E19" s="32" t="s">
        <v>85</v>
      </c>
      <c r="F19" s="32" t="s">
        <v>301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129</v>
      </c>
      <c r="B20" s="346">
        <f>+EPFS!D41</f>
        <v>124957.5</v>
      </c>
      <c r="C20" s="206">
        <f>+B20/$G$5</f>
        <v>60954.878048780491</v>
      </c>
      <c r="D20" s="364">
        <f>+EPFS!A41</f>
        <v>37293</v>
      </c>
      <c r="E20" s="32" t="s">
        <v>85</v>
      </c>
      <c r="F20" s="32" t="s">
        <v>154</v>
      </c>
      <c r="G20" s="32" t="s">
        <v>102</v>
      </c>
      <c r="H20" s="32"/>
      <c r="I20" s="32"/>
      <c r="J20" s="32"/>
      <c r="K20" s="32"/>
      <c r="L20" s="32"/>
      <c r="M20" s="32" t="s">
        <v>244</v>
      </c>
      <c r="N20" s="380">
        <v>23995</v>
      </c>
      <c r="O20" s="70">
        <v>-1023166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204" t="s">
        <v>307</v>
      </c>
      <c r="B21" s="346">
        <f>+Plains!$N$43</f>
        <v>107948.28</v>
      </c>
      <c r="C21" s="206">
        <f>+B21/$G$4</f>
        <v>52657.697560975612</v>
      </c>
      <c r="D21" s="364">
        <f>+Plains!A43</f>
        <v>37256</v>
      </c>
      <c r="E21" s="204" t="s">
        <v>85</v>
      </c>
      <c r="F21" s="204"/>
      <c r="G21" s="204" t="s">
        <v>100</v>
      </c>
      <c r="H21" s="204" t="s">
        <v>308</v>
      </c>
      <c r="I21" s="32"/>
      <c r="J21" s="32"/>
      <c r="K21" s="32"/>
      <c r="L21" s="32"/>
      <c r="M21" s="32" t="s">
        <v>244</v>
      </c>
      <c r="N21" s="380">
        <v>22864</v>
      </c>
      <c r="O21" s="70">
        <v>-58339.66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2.9" customHeight="1" x14ac:dyDescent="0.25">
      <c r="A22" s="32" t="s">
        <v>31</v>
      </c>
      <c r="B22" s="346">
        <f>+C22*$G$5</f>
        <v>96610.349999999991</v>
      </c>
      <c r="C22" s="275">
        <f>+Lonestar!F43</f>
        <v>47127</v>
      </c>
      <c r="D22" s="364">
        <f>+Lonestar!A43</f>
        <v>37293</v>
      </c>
      <c r="E22" s="32" t="s">
        <v>84</v>
      </c>
      <c r="F22" s="32" t="s">
        <v>301</v>
      </c>
      <c r="G22" s="32" t="s">
        <v>102</v>
      </c>
      <c r="H22" s="32"/>
      <c r="I22" s="15"/>
      <c r="J22" s="32"/>
      <c r="K22" s="32"/>
      <c r="L22" s="32"/>
      <c r="M22" s="32" t="s">
        <v>244</v>
      </c>
      <c r="N22" s="380">
        <v>20379</v>
      </c>
      <c r="O22" s="70">
        <v>-51695.87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32" t="s">
        <v>218</v>
      </c>
      <c r="B23" s="346">
        <f>+Amarillo!P41</f>
        <v>93730.02</v>
      </c>
      <c r="C23" s="275">
        <f>+B23/$G$4</f>
        <v>45721.960975609763</v>
      </c>
      <c r="D23" s="365">
        <f>+Amarillo!A41</f>
        <v>37293</v>
      </c>
      <c r="E23" s="32" t="s">
        <v>85</v>
      </c>
      <c r="F23" s="32" t="s">
        <v>301</v>
      </c>
      <c r="G23" s="32" t="s">
        <v>113</v>
      </c>
      <c r="H23" s="32"/>
      <c r="I23" s="204"/>
      <c r="J23" s="32"/>
      <c r="K23" s="32"/>
      <c r="L23" s="32"/>
      <c r="M23" s="32" t="s">
        <v>244</v>
      </c>
      <c r="N23" s="380">
        <v>26357</v>
      </c>
      <c r="O23" s="70">
        <v>44144.84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3.5" customHeight="1" x14ac:dyDescent="0.25">
      <c r="A24" s="32" t="s">
        <v>114</v>
      </c>
      <c r="B24" s="346">
        <f>+C24*$G$4</f>
        <v>73035.349999999991</v>
      </c>
      <c r="C24" s="206">
        <f>+'PG&amp;E'!D40</f>
        <v>35627</v>
      </c>
      <c r="D24" s="365">
        <f>+'PG&amp;E'!A40</f>
        <v>37293</v>
      </c>
      <c r="E24" s="32" t="s">
        <v>84</v>
      </c>
      <c r="F24" s="32" t="s">
        <v>154</v>
      </c>
      <c r="G24" s="32" t="s">
        <v>102</v>
      </c>
      <c r="H24" s="32"/>
      <c r="I24" s="32"/>
      <c r="J24" s="32"/>
      <c r="K24" s="32"/>
      <c r="L24" s="32"/>
      <c r="M24" s="32" t="s">
        <v>244</v>
      </c>
      <c r="N24" s="380">
        <v>21544</v>
      </c>
      <c r="O24" s="70">
        <v>61340.160000000003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s="592" customFormat="1" ht="13.5" customHeight="1" x14ac:dyDescent="0.25">
      <c r="A25" s="204" t="s">
        <v>139</v>
      </c>
      <c r="B25" s="346">
        <f>+'Citizens-Griffith'!D41</f>
        <v>48825.3</v>
      </c>
      <c r="C25" s="275">
        <f t="shared" ref="C25:C32" si="0">+B25/$G$4</f>
        <v>23817.219512195126</v>
      </c>
      <c r="D25" s="364">
        <f>+'Citizens-Griffith'!A41</f>
        <v>37293</v>
      </c>
      <c r="E25" s="204" t="s">
        <v>85</v>
      </c>
      <c r="F25" s="204" t="s">
        <v>301</v>
      </c>
      <c r="G25" s="204" t="s">
        <v>99</v>
      </c>
      <c r="H25" s="204"/>
      <c r="I25" s="204"/>
      <c r="J25" s="204"/>
      <c r="K25" s="204"/>
      <c r="L25" s="204"/>
      <c r="M25" s="204"/>
      <c r="N25" s="471"/>
      <c r="O25" s="273"/>
      <c r="P25" s="273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92" customFormat="1" ht="13.5" customHeight="1" x14ac:dyDescent="0.25">
      <c r="A26" s="32" t="s">
        <v>298</v>
      </c>
      <c r="B26" s="346">
        <f>+Stratland!$D$41</f>
        <v>48516</v>
      </c>
      <c r="C26" s="275">
        <f t="shared" si="0"/>
        <v>23666.341463414636</v>
      </c>
      <c r="D26" s="364">
        <f>+Stratland!A41</f>
        <v>37287</v>
      </c>
      <c r="E26" s="32" t="s">
        <v>85</v>
      </c>
      <c r="F26" s="32" t="s">
        <v>300</v>
      </c>
      <c r="G26" s="32" t="s">
        <v>102</v>
      </c>
      <c r="H26" s="32"/>
      <c r="I26" s="204"/>
      <c r="J26" s="204"/>
      <c r="K26" s="204"/>
      <c r="L26" s="204"/>
      <c r="M26" s="204" t="s">
        <v>245</v>
      </c>
      <c r="N26" s="471">
        <v>24361</v>
      </c>
      <c r="O26" s="273">
        <v>811179.69</v>
      </c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s="592" customFormat="1" ht="13.5" customHeight="1" x14ac:dyDescent="0.25">
      <c r="A27" s="32" t="s">
        <v>23</v>
      </c>
      <c r="B27" s="346">
        <f>+C27*$G$3</f>
        <v>36418.25</v>
      </c>
      <c r="C27" s="348">
        <f>+'Red C'!$F$45</f>
        <v>17765</v>
      </c>
      <c r="D27" s="364">
        <f>+'Red C'!A45</f>
        <v>37292</v>
      </c>
      <c r="E27" s="204" t="s">
        <v>84</v>
      </c>
      <c r="F27" s="32" t="s">
        <v>153</v>
      </c>
      <c r="G27" s="32" t="s">
        <v>115</v>
      </c>
      <c r="H27" s="32"/>
      <c r="I27" s="204"/>
      <c r="J27" s="204"/>
      <c r="K27" s="204"/>
      <c r="L27" s="204"/>
      <c r="M27" s="204"/>
      <c r="N27" s="471"/>
      <c r="O27" s="273"/>
      <c r="P27" s="273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ht="13.5" customHeight="1" x14ac:dyDescent="0.25">
      <c r="A28" s="32" t="s">
        <v>110</v>
      </c>
      <c r="B28" s="346">
        <f>+C28*$G$4</f>
        <v>36053.35</v>
      </c>
      <c r="C28" s="275">
        <f>+CIG!D42</f>
        <v>17587</v>
      </c>
      <c r="D28" s="365">
        <f>+CIG!A42</f>
        <v>37290</v>
      </c>
      <c r="E28" s="204" t="s">
        <v>84</v>
      </c>
      <c r="F28" s="32" t="s">
        <v>154</v>
      </c>
      <c r="G28" s="32" t="s">
        <v>113</v>
      </c>
      <c r="H28" s="32"/>
      <c r="I28" s="204"/>
      <c r="J28" s="32"/>
      <c r="K28" s="32"/>
      <c r="L28" s="32"/>
      <c r="M28" s="32" t="s">
        <v>244</v>
      </c>
      <c r="N28" s="380">
        <v>26357</v>
      </c>
      <c r="O28" s="70">
        <v>44144.84</v>
      </c>
      <c r="P28" s="32" t="s">
        <v>247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s="592" customFormat="1" ht="13.5" customHeight="1" x14ac:dyDescent="0.25">
      <c r="A29" s="204" t="s">
        <v>71</v>
      </c>
      <c r="B29" s="347">
        <f>+transcol!$D$43</f>
        <v>31780.75</v>
      </c>
      <c r="C29" s="348">
        <f t="shared" si="0"/>
        <v>15502.804878048782</v>
      </c>
      <c r="D29" s="364">
        <f>+transcol!A43</f>
        <v>37292</v>
      </c>
      <c r="E29" s="204" t="s">
        <v>85</v>
      </c>
      <c r="F29" s="204" t="s">
        <v>153</v>
      </c>
      <c r="G29" s="204" t="s">
        <v>115</v>
      </c>
      <c r="H29" s="32"/>
      <c r="I29" s="204"/>
      <c r="J29" s="204"/>
      <c r="K29" s="204"/>
      <c r="L29" s="204"/>
      <c r="M29" s="204"/>
      <c r="N29" s="471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ht="15" customHeight="1" x14ac:dyDescent="0.25">
      <c r="A30" s="32" t="s">
        <v>103</v>
      </c>
      <c r="B30" s="346">
        <f>+EOG!$J$41</f>
        <v>28235.75</v>
      </c>
      <c r="C30" s="275">
        <f t="shared" si="0"/>
        <v>13773.536585365855</v>
      </c>
      <c r="D30" s="364">
        <f>+EOG!A41</f>
        <v>37292</v>
      </c>
      <c r="E30" s="32" t="s">
        <v>85</v>
      </c>
      <c r="F30" s="32" t="s">
        <v>300</v>
      </c>
      <c r="G30" s="32" t="s">
        <v>102</v>
      </c>
      <c r="H30" s="32"/>
      <c r="I30" s="32"/>
      <c r="J30" s="32"/>
      <c r="K30" s="32"/>
      <c r="L30" s="32"/>
      <c r="M30" s="32"/>
      <c r="N30" s="380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3.5" customHeight="1" x14ac:dyDescent="0.25">
      <c r="A31" s="204" t="s">
        <v>109</v>
      </c>
      <c r="B31" s="346">
        <f>+Continental!F43</f>
        <v>27557.4</v>
      </c>
      <c r="C31" s="206">
        <f t="shared" si="0"/>
        <v>13442.634146341465</v>
      </c>
      <c r="D31" s="364">
        <f>+Continental!A43</f>
        <v>37291</v>
      </c>
      <c r="E31" s="204" t="s">
        <v>85</v>
      </c>
      <c r="F31" s="204" t="s">
        <v>154</v>
      </c>
      <c r="G31" s="204" t="s">
        <v>115</v>
      </c>
      <c r="H31" s="204"/>
      <c r="I31" s="32"/>
      <c r="J31" s="32"/>
      <c r="K31" s="32"/>
      <c r="L31" s="32"/>
      <c r="M31" s="32"/>
      <c r="N31" s="380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5">
      <c r="A32" s="32" t="s">
        <v>281</v>
      </c>
      <c r="B32" s="346">
        <f>+'WTG inc'!N43</f>
        <v>25669.4</v>
      </c>
      <c r="C32" s="275">
        <f t="shared" si="0"/>
        <v>12521.658536585368</v>
      </c>
      <c r="D32" s="365">
        <f>+'WTG inc'!A43</f>
        <v>37290</v>
      </c>
      <c r="E32" s="32" t="s">
        <v>85</v>
      </c>
      <c r="F32" s="32" t="s">
        <v>153</v>
      </c>
      <c r="G32" s="32" t="s">
        <v>115</v>
      </c>
      <c r="H32" s="204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3.5" customHeight="1" x14ac:dyDescent="0.25">
      <c r="A33" s="204" t="s">
        <v>127</v>
      </c>
      <c r="B33" s="346">
        <f>+Calpine!D41</f>
        <v>21340.649999999998</v>
      </c>
      <c r="C33" s="206">
        <f>+B33/$G$4</f>
        <v>10410.073170731706</v>
      </c>
      <c r="D33" s="364">
        <f>+Calpine!A41</f>
        <v>37293</v>
      </c>
      <c r="E33" s="204" t="s">
        <v>85</v>
      </c>
      <c r="F33" s="204" t="s">
        <v>153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204" t="s">
        <v>87</v>
      </c>
      <c r="B34" s="346">
        <f>+NNG!$D$24</f>
        <v>13519.85</v>
      </c>
      <c r="C34" s="275">
        <f>+B34/$G$4</f>
        <v>6595.0487804878057</v>
      </c>
      <c r="D34" s="364">
        <f>+NNG!A24</f>
        <v>37293</v>
      </c>
      <c r="E34" s="204" t="s">
        <v>85</v>
      </c>
      <c r="F34" s="204" t="s">
        <v>300</v>
      </c>
      <c r="G34" s="204" t="s">
        <v>100</v>
      </c>
      <c r="H34" s="204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5">
      <c r="A35" s="32" t="s">
        <v>289</v>
      </c>
      <c r="B35" s="346">
        <f>+C35*$G$3</f>
        <v>11736.249999999998</v>
      </c>
      <c r="C35" s="275">
        <f>+Amoco!D40</f>
        <v>5725</v>
      </c>
      <c r="D35" s="365">
        <f>+Amoco!A40</f>
        <v>37292</v>
      </c>
      <c r="E35" s="32" t="s">
        <v>84</v>
      </c>
      <c r="F35" s="32" t="s">
        <v>153</v>
      </c>
      <c r="G35" s="32" t="s">
        <v>115</v>
      </c>
      <c r="H35" s="32"/>
      <c r="I35" s="32"/>
      <c r="J35" s="32"/>
      <c r="K35" s="32"/>
      <c r="L35" s="32"/>
      <c r="M35" s="32"/>
      <c r="N35" s="380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92" customFormat="1" ht="13.5" customHeight="1" x14ac:dyDescent="0.25">
      <c r="A36" s="32" t="s">
        <v>131</v>
      </c>
      <c r="B36" s="346">
        <f>+SidR!D41</f>
        <v>10210.049999999999</v>
      </c>
      <c r="C36" s="275">
        <f>+B36/$G$5</f>
        <v>4980.5121951219517</v>
      </c>
      <c r="D36" s="365">
        <f>+SidR!A41</f>
        <v>37292</v>
      </c>
      <c r="E36" s="32" t="s">
        <v>85</v>
      </c>
      <c r="F36" s="32" t="s">
        <v>152</v>
      </c>
      <c r="G36" s="32" t="s">
        <v>102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5">
      <c r="A37" s="204" t="s">
        <v>147</v>
      </c>
      <c r="B37" s="346">
        <f>+PGETX!$H$39</f>
        <v>10192.950000000001</v>
      </c>
      <c r="C37" s="275">
        <f>+B37/$G$4</f>
        <v>4972.1707317073178</v>
      </c>
      <c r="D37" s="364">
        <f>+PGETX!E39</f>
        <v>37293</v>
      </c>
      <c r="E37" s="204" t="s">
        <v>85</v>
      </c>
      <c r="F37" s="204" t="s">
        <v>154</v>
      </c>
      <c r="G37" s="204" t="s">
        <v>102</v>
      </c>
      <c r="H37" s="204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2" customFormat="1" ht="13.5" customHeight="1" x14ac:dyDescent="0.25">
      <c r="A38" s="204" t="s">
        <v>28</v>
      </c>
      <c r="B38" s="349">
        <f>+C38*$G$3</f>
        <v>1963.8999999999999</v>
      </c>
      <c r="C38" s="71">
        <f>+williams!J40</f>
        <v>958</v>
      </c>
      <c r="D38" s="364">
        <f>+williams!A40</f>
        <v>37293</v>
      </c>
      <c r="E38" s="204" t="s">
        <v>85</v>
      </c>
      <c r="F38" s="204" t="s">
        <v>154</v>
      </c>
      <c r="G38" s="204" t="s">
        <v>291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5">
      <c r="A39" s="32" t="s">
        <v>96</v>
      </c>
      <c r="B39" s="47">
        <f>SUM(B8:B38)</f>
        <v>4456754.4200000009</v>
      </c>
      <c r="C39" s="69">
        <f>SUM(C8:C38)</f>
        <v>2174026.5463414644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204" t="s">
        <v>313</v>
      </c>
      <c r="B42" s="347">
        <f>+Duke!B83</f>
        <v>-129322.19000000006</v>
      </c>
      <c r="C42" s="348">
        <f>+B42/$G$5</f>
        <v>-63083.995121951251</v>
      </c>
      <c r="D42" s="364">
        <f>+DEFS!A40</f>
        <v>37290</v>
      </c>
      <c r="E42" s="204" t="s">
        <v>85</v>
      </c>
      <c r="F42" s="32" t="s">
        <v>153</v>
      </c>
      <c r="G42" s="32" t="s">
        <v>100</v>
      </c>
      <c r="H42" s="32" t="s">
        <v>309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135</v>
      </c>
      <c r="B43" s="346">
        <f>+Citizens!D18</f>
        <v>-550339.18999999994</v>
      </c>
      <c r="C43" s="206">
        <f>+B43/$G$4</f>
        <v>-268458.14146341465</v>
      </c>
      <c r="D43" s="364">
        <f>+Citizens!A18</f>
        <v>37287</v>
      </c>
      <c r="E43" s="204" t="s">
        <v>85</v>
      </c>
      <c r="F43" s="204" t="s">
        <v>301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133</v>
      </c>
      <c r="B44" s="346">
        <f>+'NS Steel'!D41</f>
        <v>-285660.15000000002</v>
      </c>
      <c r="C44" s="206">
        <f>+B44/$G$4</f>
        <v>-139346.41463414638</v>
      </c>
      <c r="D44" s="365">
        <f>+'NS Steel'!A41</f>
        <v>37293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204" t="s">
        <v>258</v>
      </c>
      <c r="B45" s="346">
        <f>+MiVida_Rich!D41</f>
        <v>-192231</v>
      </c>
      <c r="C45" s="206">
        <f>+B45/$G$5</f>
        <v>-93771.219512195137</v>
      </c>
      <c r="D45" s="364">
        <f>+MiVida_Rich!A41</f>
        <v>37287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32" t="s">
        <v>6</v>
      </c>
      <c r="B46" s="346">
        <f>+Oasis!$D$40</f>
        <v>-137102.70000000001</v>
      </c>
      <c r="C46" s="206">
        <f>+B46/$G$5</f>
        <v>-66879.365853658543</v>
      </c>
      <c r="D46" s="365">
        <f>+Oasis!A40</f>
        <v>37292</v>
      </c>
      <c r="E46" s="32" t="s">
        <v>85</v>
      </c>
      <c r="F46" s="32" t="s">
        <v>154</v>
      </c>
      <c r="G46" s="32" t="s">
        <v>102</v>
      </c>
      <c r="H46" s="3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3" customFormat="1" ht="13.5" customHeight="1" x14ac:dyDescent="0.25">
      <c r="A47" s="32" t="s">
        <v>216</v>
      </c>
      <c r="B47" s="346">
        <f>+crosstex!F41</f>
        <v>-135859.82999999999</v>
      </c>
      <c r="C47" s="206">
        <f>+B47/$G$4</f>
        <v>-66273.087804878043</v>
      </c>
      <c r="D47" s="365">
        <f>+crosstex!A41</f>
        <v>37293</v>
      </c>
      <c r="E47" s="32" t="s">
        <v>85</v>
      </c>
      <c r="F47" s="32" t="s">
        <v>152</v>
      </c>
      <c r="G47" s="32" t="s">
        <v>100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5">
      <c r="A48" s="204" t="s">
        <v>204</v>
      </c>
      <c r="B48" s="347">
        <f>+WTGmktg!J43</f>
        <v>-34637.65</v>
      </c>
      <c r="C48" s="206">
        <f>+B48/$G$4</f>
        <v>-16896.414634146342</v>
      </c>
      <c r="D48" s="364">
        <f>+WTGmktg!A43</f>
        <v>37290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92" customFormat="1" ht="13.5" customHeight="1" x14ac:dyDescent="0.25">
      <c r="A49" s="32" t="s">
        <v>278</v>
      </c>
      <c r="B49" s="346">
        <f>+SWGasTrans!$D$41</f>
        <v>-20478.3</v>
      </c>
      <c r="C49" s="275">
        <f>+B49/$G$4</f>
        <v>-9989.414634146342</v>
      </c>
      <c r="D49" s="364">
        <f>+SWGasTrans!A41</f>
        <v>37290</v>
      </c>
      <c r="E49" s="32" t="s">
        <v>85</v>
      </c>
      <c r="F49" s="32" t="s">
        <v>153</v>
      </c>
      <c r="G49" s="32" t="s">
        <v>99</v>
      </c>
      <c r="H49" s="32"/>
      <c r="I49" s="204"/>
      <c r="J49" s="204"/>
      <c r="K49" s="204"/>
      <c r="L49" s="204"/>
      <c r="M49" s="204" t="s">
        <v>243</v>
      </c>
      <c r="N49" s="471">
        <v>24268</v>
      </c>
      <c r="O49" s="273">
        <v>1481856.66</v>
      </c>
      <c r="P49" s="273">
        <f>+O49</f>
        <v>1481856.66</v>
      </c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92" customFormat="1" ht="13.5" customHeight="1" x14ac:dyDescent="0.25">
      <c r="A50" s="204" t="s">
        <v>95</v>
      </c>
      <c r="B50" s="346">
        <f>+burlington!D42</f>
        <v>-15589.8</v>
      </c>
      <c r="C50" s="275">
        <f>+B50/$G$3</f>
        <v>-7604.7804878048782</v>
      </c>
      <c r="D50" s="364">
        <f>+burlington!A42</f>
        <v>37290</v>
      </c>
      <c r="E50" s="204" t="s">
        <v>85</v>
      </c>
      <c r="F50" s="32" t="s">
        <v>154</v>
      </c>
      <c r="G50" s="32" t="s">
        <v>113</v>
      </c>
      <c r="H50" s="32"/>
      <c r="I50" s="204"/>
      <c r="J50" s="204"/>
      <c r="K50" s="204"/>
      <c r="L50" s="204"/>
      <c r="M50" s="204"/>
      <c r="N50" s="471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92" customFormat="1" ht="13.5" customHeight="1" x14ac:dyDescent="0.25">
      <c r="A51" s="32" t="s">
        <v>1</v>
      </c>
      <c r="B51" s="346">
        <f>+C51*$G$3</f>
        <v>-8064.6999999999989</v>
      </c>
      <c r="C51" s="206">
        <f>+NW!$F$41</f>
        <v>-3934</v>
      </c>
      <c r="D51" s="364">
        <f>+NW!B41</f>
        <v>37293</v>
      </c>
      <c r="E51" s="32" t="s">
        <v>84</v>
      </c>
      <c r="F51" s="32" t="s">
        <v>153</v>
      </c>
      <c r="G51" s="32" t="s">
        <v>115</v>
      </c>
      <c r="H51" s="352"/>
      <c r="I51" s="204"/>
      <c r="J51" s="204"/>
      <c r="K51" s="204"/>
      <c r="L51" s="204"/>
      <c r="M51" s="204"/>
      <c r="N51" s="471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5">
      <c r="A52" s="204" t="s">
        <v>142</v>
      </c>
      <c r="B52" s="596">
        <f>+C52*$G$4</f>
        <v>-3497.2999999999997</v>
      </c>
      <c r="C52" s="283">
        <f>+PEPL!D41</f>
        <v>-1706</v>
      </c>
      <c r="D52" s="364">
        <f>+PEPL!A41</f>
        <v>37292</v>
      </c>
      <c r="E52" s="204" t="s">
        <v>84</v>
      </c>
      <c r="F52" s="204" t="s">
        <v>301</v>
      </c>
      <c r="G52" s="204" t="s">
        <v>100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5">
      <c r="A53" s="32" t="s">
        <v>97</v>
      </c>
      <c r="B53" s="346">
        <f>SUM(B42:B52)</f>
        <v>-1512782.81</v>
      </c>
      <c r="C53" s="206">
        <f>SUM(C42:C52)</f>
        <v>-737942.83414634166</v>
      </c>
      <c r="D53" s="353"/>
      <c r="E53" s="32"/>
      <c r="F53" s="32"/>
      <c r="G53" s="32"/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9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4">
        <f>+B53+B39</f>
        <v>2943971.6100000008</v>
      </c>
      <c r="C55" s="355">
        <f>+C53+C39</f>
        <v>1436083.7121951226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6"/>
      <c r="C73" s="357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263</v>
      </c>
      <c r="B75" s="75">
        <v>16841.21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265</v>
      </c>
      <c r="B76" s="75">
        <v>-8065.83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266</v>
      </c>
      <c r="B77" s="527">
        <v>-725.46</v>
      </c>
      <c r="C77" s="69"/>
      <c r="D77" s="358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267</v>
      </c>
      <c r="B78" s="527">
        <v>-1777.19</v>
      </c>
      <c r="C78" s="291"/>
      <c r="D78" s="360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268</v>
      </c>
      <c r="B79" s="527">
        <v>2429.75</v>
      </c>
      <c r="C79" s="291"/>
      <c r="D79" s="361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269</v>
      </c>
      <c r="B80" s="527">
        <v>6695.6</v>
      </c>
      <c r="C80" s="496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271</v>
      </c>
      <c r="B81" s="524">
        <v>-2165.34</v>
      </c>
      <c r="C81" s="496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273</v>
      </c>
      <c r="B82" s="524">
        <v>-17015.8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274</v>
      </c>
      <c r="B83" s="524">
        <v>8356.0499999999993</v>
      </c>
      <c r="C83" s="594"/>
      <c r="D83" s="358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275</v>
      </c>
      <c r="B84" s="540">
        <f>775*2.25</f>
        <v>1743.75</v>
      </c>
      <c r="C84" s="594"/>
      <c r="D84" s="358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272</v>
      </c>
      <c r="B85" s="15">
        <f>44144.84-58339.66</f>
        <v>-14194.820000000007</v>
      </c>
      <c r="C85" s="594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272</v>
      </c>
      <c r="B86" s="15">
        <v>-51695.87</v>
      </c>
      <c r="C86" s="594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272</v>
      </c>
      <c r="B87" s="15">
        <v>61340.160000000003</v>
      </c>
      <c r="C87" s="594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293</v>
      </c>
      <c r="B88" s="524">
        <v>-2475.85</v>
      </c>
      <c r="C88" s="594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279</v>
      </c>
      <c r="B89" s="524">
        <v>2493.64</v>
      </c>
      <c r="C89" s="594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264</v>
      </c>
      <c r="B90" s="527">
        <v>-35893</v>
      </c>
      <c r="C90" s="496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270</v>
      </c>
      <c r="B91" s="15">
        <v>3338.45</v>
      </c>
      <c r="C91" s="496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294</v>
      </c>
      <c r="B92" s="526">
        <v>4000.5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295</v>
      </c>
      <c r="B93" s="526">
        <v>-725.46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-27495.510000000006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8" sqref="B18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-177490</v>
      </c>
      <c r="C7" s="80">
        <v>-72411</v>
      </c>
      <c r="D7" s="80">
        <f t="shared" si="0"/>
        <v>105079</v>
      </c>
    </row>
    <row r="8" spans="1:4" x14ac:dyDescent="0.2">
      <c r="A8" s="32">
        <v>60667</v>
      </c>
      <c r="B8" s="309">
        <v>-14</v>
      </c>
      <c r="C8" s="80">
        <v>-221407</v>
      </c>
      <c r="D8" s="80">
        <f t="shared" si="0"/>
        <v>-221393</v>
      </c>
    </row>
    <row r="9" spans="1:4" x14ac:dyDescent="0.2">
      <c r="A9" s="32">
        <v>60749</v>
      </c>
      <c r="B9" s="309">
        <v>48196</v>
      </c>
      <c r="C9" s="80">
        <v>6315</v>
      </c>
      <c r="D9" s="80">
        <f t="shared" si="0"/>
        <v>-41881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-159652</v>
      </c>
      <c r="C11" s="80"/>
      <c r="D11" s="80">
        <f t="shared" si="0"/>
        <v>159652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1457</v>
      </c>
    </row>
    <row r="19" spans="1:5" x14ac:dyDescent="0.2">
      <c r="A19" s="32" t="s">
        <v>81</v>
      </c>
      <c r="B19" s="69"/>
      <c r="C19" s="69"/>
      <c r="D19" s="73">
        <f>+summary!G4</f>
        <v>2.0499999999999998</v>
      </c>
    </row>
    <row r="20" spans="1:5" x14ac:dyDescent="0.2">
      <c r="B20" s="69"/>
      <c r="C20" s="69"/>
      <c r="D20" s="75">
        <f>+D19*D18</f>
        <v>2986.85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37293</v>
      </c>
      <c r="B24" s="69"/>
      <c r="C24" s="69"/>
      <c r="D24" s="332">
        <f>+D22+D20</f>
        <v>13519.85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37293</v>
      </c>
      <c r="D33" s="350">
        <f>+D18</f>
        <v>1457</v>
      </c>
    </row>
    <row r="34" spans="1:4" x14ac:dyDescent="0.2">
      <c r="D34" s="14">
        <f>+D33+D32</f>
        <v>4879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-24302</v>
      </c>
      <c r="C5" s="90">
        <v>-11253</v>
      </c>
      <c r="D5" s="90">
        <f t="shared" ref="D5:D13" si="0">+C5-B5</f>
        <v>13049</v>
      </c>
      <c r="E5" s="69"/>
      <c r="F5" s="201"/>
    </row>
    <row r="6" spans="1:13" x14ac:dyDescent="0.25">
      <c r="A6" s="87">
        <v>9238</v>
      </c>
      <c r="B6" s="90">
        <f>-7603</f>
        <v>-7603</v>
      </c>
      <c r="C6" s="90">
        <v>-6000</v>
      </c>
      <c r="D6" s="90">
        <f t="shared" si="0"/>
        <v>1603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-633443</v>
      </c>
      <c r="C7" s="90">
        <v>-587768</v>
      </c>
      <c r="D7" s="90">
        <f t="shared" si="0"/>
        <v>45675</v>
      </c>
      <c r="E7" s="275"/>
      <c r="F7" s="201"/>
    </row>
    <row r="8" spans="1:13" x14ac:dyDescent="0.25">
      <c r="A8" s="87">
        <v>58710</v>
      </c>
      <c r="B8" s="90">
        <v>-2251</v>
      </c>
      <c r="C8" s="90">
        <v>-16558</v>
      </c>
      <c r="D8" s="90">
        <f t="shared" si="0"/>
        <v>-14307</v>
      </c>
      <c r="E8" s="275"/>
      <c r="F8" s="201"/>
    </row>
    <row r="9" spans="1:13" x14ac:dyDescent="0.25">
      <c r="A9" s="87">
        <v>60921</v>
      </c>
      <c r="B9" s="90">
        <v>-505158</v>
      </c>
      <c r="C9" s="90">
        <v>-545829</v>
      </c>
      <c r="D9" s="90">
        <f t="shared" si="0"/>
        <v>-40671</v>
      </c>
      <c r="E9" s="275"/>
      <c r="F9" s="201"/>
    </row>
    <row r="10" spans="1:13" x14ac:dyDescent="0.25">
      <c r="A10" s="87">
        <v>78026</v>
      </c>
      <c r="B10" s="90"/>
      <c r="C10" s="90">
        <v>3300</v>
      </c>
      <c r="D10" s="90">
        <f t="shared" si="0"/>
        <v>3300</v>
      </c>
      <c r="E10" s="275"/>
      <c r="F10" s="467"/>
    </row>
    <row r="11" spans="1:13" x14ac:dyDescent="0.25">
      <c r="A11" s="87">
        <v>500084</v>
      </c>
      <c r="B11" s="90">
        <v>-14180</v>
      </c>
      <c r="C11" s="90">
        <v>-18000</v>
      </c>
      <c r="D11" s="90">
        <f t="shared" si="0"/>
        <v>-3820</v>
      </c>
      <c r="E11" s="276"/>
      <c r="F11" s="467"/>
    </row>
    <row r="12" spans="1:13" x14ac:dyDescent="0.25">
      <c r="A12" s="317">
        <v>500085</v>
      </c>
      <c r="B12" s="90">
        <f>-3449-134</f>
        <v>-3583</v>
      </c>
      <c r="C12" s="90"/>
      <c r="D12" s="90">
        <f t="shared" si="0"/>
        <v>3583</v>
      </c>
      <c r="E12" s="275"/>
      <c r="F12" s="467"/>
    </row>
    <row r="13" spans="1:13" x14ac:dyDescent="0.25">
      <c r="A13" s="87">
        <v>500097</v>
      </c>
      <c r="B13" s="90">
        <v>-23905</v>
      </c>
      <c r="C13" s="90">
        <v>-24000</v>
      </c>
      <c r="D13" s="90">
        <f t="shared" si="0"/>
        <v>-95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8317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2.0499999999999998</v>
      </c>
      <c r="E18" s="277"/>
      <c r="F18" s="467"/>
    </row>
    <row r="19" spans="1:7" x14ac:dyDescent="0.25">
      <c r="A19" s="87"/>
      <c r="B19" s="88"/>
      <c r="C19" s="88"/>
      <c r="D19" s="96">
        <f>+D18*D17</f>
        <v>17049.849999999999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37293</v>
      </c>
      <c r="B23" s="88"/>
      <c r="C23" s="88"/>
      <c r="D23" s="318">
        <f>+D21+D19</f>
        <v>822219.53</v>
      </c>
      <c r="E23" s="207"/>
      <c r="F23" s="468"/>
    </row>
    <row r="24" spans="1:7" ht="13.8" thickTop="1" x14ac:dyDescent="0.25">
      <c r="E24" s="278"/>
    </row>
    <row r="25" spans="1:7" x14ac:dyDescent="0.25">
      <c r="E25" s="505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523">
        <v>325714</v>
      </c>
    </row>
    <row r="29" spans="1:7" x14ac:dyDescent="0.25">
      <c r="A29" s="49">
        <f>+A23</f>
        <v>37293</v>
      </c>
      <c r="B29" s="32"/>
      <c r="C29" s="32"/>
      <c r="D29" s="350">
        <f>+D17</f>
        <v>8317</v>
      </c>
    </row>
    <row r="30" spans="1:7" x14ac:dyDescent="0.25">
      <c r="A30" s="32"/>
      <c r="B30" s="32"/>
      <c r="C30" s="32"/>
      <c r="D30" s="14">
        <f>+D29+D28</f>
        <v>334031</v>
      </c>
      <c r="E30" s="345"/>
    </row>
    <row r="31" spans="1:7" x14ac:dyDescent="0.25">
      <c r="A31" s="139"/>
      <c r="B31" s="119"/>
      <c r="C31" s="140"/>
      <c r="D31" s="554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5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5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5">
      <c r="A6">
        <v>4</v>
      </c>
      <c r="B6" s="599">
        <v>40684</v>
      </c>
      <c r="C6" s="90">
        <v>40684</v>
      </c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5">
      <c r="A7">
        <v>5</v>
      </c>
      <c r="B7" s="90">
        <v>37651</v>
      </c>
      <c r="C7" s="90">
        <v>37644</v>
      </c>
      <c r="D7" s="90"/>
      <c r="E7" s="90"/>
      <c r="F7" s="90">
        <f t="shared" si="0"/>
        <v>-7</v>
      </c>
    </row>
    <row r="8" spans="1:24" x14ac:dyDescent="0.25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5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198377</v>
      </c>
      <c r="C34" s="287">
        <f>SUM(C3:C33)</f>
        <v>198527</v>
      </c>
      <c r="D34" s="14">
        <f>SUM(D3:D33)</f>
        <v>0</v>
      </c>
      <c r="E34" s="14">
        <f>SUM(E3:E33)</f>
        <v>-1752</v>
      </c>
      <c r="F34" s="14">
        <f>SUM(F3:F33)</f>
        <v>-1602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5">
      <c r="A38" s="580">
        <v>37292</v>
      </c>
      <c r="B38" s="14"/>
      <c r="C38" s="14"/>
      <c r="D38" s="14"/>
      <c r="E38" s="14"/>
      <c r="F38" s="150">
        <f>+F37+F34</f>
        <v>134007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37292</v>
      </c>
      <c r="B44" s="32"/>
      <c r="C44" s="32"/>
      <c r="D44" s="375">
        <f>+F34*'by type_area'!G4</f>
        <v>-3284.1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335456.90000000002</v>
      </c>
      <c r="F45" s="290"/>
      <c r="I45" s="503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8" sqref="C8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-81738</v>
      </c>
      <c r="C35" s="11">
        <f>SUM(C4:C34)</f>
        <v>-79840</v>
      </c>
      <c r="D35" s="11">
        <f>SUM(D4:D34)</f>
        <v>1898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93">
        <v>177959</v>
      </c>
    </row>
    <row r="39" spans="1:4" x14ac:dyDescent="0.25">
      <c r="A39" s="2"/>
      <c r="D39" s="24"/>
    </row>
    <row r="40" spans="1:4" x14ac:dyDescent="0.25">
      <c r="A40" s="57">
        <v>37291</v>
      </c>
      <c r="D40" s="51">
        <f>+D38+D35</f>
        <v>179857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92">
        <v>181376</v>
      </c>
    </row>
    <row r="46" spans="1:4" x14ac:dyDescent="0.25">
      <c r="A46" s="49">
        <f>+A40</f>
        <v>37291</v>
      </c>
      <c r="B46" s="32"/>
      <c r="C46" s="32"/>
      <c r="D46" s="375">
        <f>+D35*'by type_area'!G4</f>
        <v>3890.8999999999996</v>
      </c>
    </row>
    <row r="47" spans="1:4" x14ac:dyDescent="0.25">
      <c r="A47" s="32"/>
      <c r="B47" s="32"/>
      <c r="C47" s="32"/>
      <c r="D47" s="200">
        <f>+D46+D45</f>
        <v>185266.9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37287</v>
      </c>
      <c r="C35" s="11">
        <f t="shared" ref="C35:I35" si="1">SUM(C4:C34)</f>
        <v>38500</v>
      </c>
      <c r="D35" s="11">
        <f t="shared" si="1"/>
        <v>41869</v>
      </c>
      <c r="E35" s="11">
        <f t="shared" si="1"/>
        <v>40000</v>
      </c>
      <c r="F35" s="11">
        <f t="shared" si="1"/>
        <v>0</v>
      </c>
      <c r="G35" s="11">
        <f t="shared" si="1"/>
        <v>3500</v>
      </c>
      <c r="H35" s="11">
        <f t="shared" si="1"/>
        <v>29829</v>
      </c>
      <c r="I35" s="11">
        <f t="shared" si="1"/>
        <v>31500</v>
      </c>
      <c r="J35" s="11">
        <f>SUM(J4:J34)</f>
        <v>4515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2.0499999999999998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9255.75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37292</v>
      </c>
      <c r="J41" s="319">
        <f>+J39+J37</f>
        <v>28235.75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37292</v>
      </c>
      <c r="B47" s="32"/>
      <c r="C47" s="32"/>
      <c r="D47" s="350">
        <f>+J35</f>
        <v>4515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-14079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F43" sqref="F4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228</v>
      </c>
      <c r="F39" s="25">
        <f>SUM(F8:F38)</f>
        <v>228</v>
      </c>
    </row>
    <row r="40" spans="1:6" x14ac:dyDescent="0.25">
      <c r="A40" s="26"/>
      <c r="C40" s="14"/>
      <c r="F40" s="253">
        <f>+summary!G4</f>
        <v>2.0499999999999998</v>
      </c>
    </row>
    <row r="41" spans="1:6" x14ac:dyDescent="0.25">
      <c r="F41" s="138">
        <f>+F40*F39</f>
        <v>467.4</v>
      </c>
    </row>
    <row r="42" spans="1:6" x14ac:dyDescent="0.25">
      <c r="A42" s="57">
        <v>37287</v>
      </c>
      <c r="C42" s="15"/>
      <c r="F42" s="495">
        <v>27090</v>
      </c>
    </row>
    <row r="43" spans="1:6" x14ac:dyDescent="0.25">
      <c r="A43" s="57">
        <v>37291</v>
      </c>
      <c r="C43" s="48"/>
      <c r="F43" s="138">
        <f>+F42+F41</f>
        <v>27557.4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90">
        <v>-2700</v>
      </c>
    </row>
    <row r="49" spans="1:4" x14ac:dyDescent="0.25">
      <c r="A49" s="49">
        <f>+A43</f>
        <v>37291</v>
      </c>
      <c r="B49" s="32"/>
      <c r="C49" s="32"/>
      <c r="D49" s="350">
        <f>+F39</f>
        <v>228</v>
      </c>
    </row>
    <row r="50" spans="1:4" x14ac:dyDescent="0.25">
      <c r="A50" s="32"/>
      <c r="B50" s="32"/>
      <c r="C50" s="32"/>
      <c r="D50" s="14">
        <f>+D49+D48</f>
        <v>-2472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0"/>
    </row>
    <row r="41" spans="1:4" x14ac:dyDescent="0.25">
      <c r="A41" s="57">
        <v>37287</v>
      </c>
      <c r="C41" s="15"/>
      <c r="D41" s="457">
        <v>17587</v>
      </c>
    </row>
    <row r="42" spans="1:4" x14ac:dyDescent="0.25">
      <c r="A42" s="57">
        <v>37290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61">
        <v>385897</v>
      </c>
    </row>
    <row r="48" spans="1:4" x14ac:dyDescent="0.25">
      <c r="A48" s="49">
        <f>+A42</f>
        <v>37290</v>
      </c>
      <c r="B48" s="32"/>
      <c r="C48" s="32"/>
      <c r="D48" s="375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C12" sqref="C1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-253465</v>
      </c>
      <c r="I19" s="119">
        <f>+C37</f>
        <v>-241972</v>
      </c>
      <c r="J19" s="119">
        <f>+I19-H19</f>
        <v>11493</v>
      </c>
      <c r="K19" s="412">
        <f>+D38</f>
        <v>2.0499999999999998</v>
      </c>
      <c r="L19" s="417">
        <f>+K19*J19</f>
        <v>23560.649999999998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141985</v>
      </c>
      <c r="K24" s="408"/>
      <c r="L24" s="110">
        <f>+L19+L17</f>
        <v>105245.74999999983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51339.390243902359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-253465</v>
      </c>
      <c r="C37" s="11">
        <f>SUM(C6:C36)</f>
        <v>-241972</v>
      </c>
      <c r="D37" s="25">
        <f>SUM(D6:D36)</f>
        <v>11493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23560.649999999998</v>
      </c>
    </row>
    <row r="40" spans="1:4" x14ac:dyDescent="0.25">
      <c r="A40" s="57">
        <v>37287</v>
      </c>
      <c r="C40" s="15"/>
      <c r="D40" s="528">
        <v>-2220</v>
      </c>
    </row>
    <row r="41" spans="1:4" x14ac:dyDescent="0.25">
      <c r="A41" s="57">
        <v>37293</v>
      </c>
      <c r="C41" s="48"/>
      <c r="D41" s="138">
        <f>+D40+D39</f>
        <v>21340.649999999998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23">
        <v>86032</v>
      </c>
    </row>
    <row r="46" spans="1:4" x14ac:dyDescent="0.25">
      <c r="A46" s="49">
        <f>+A41</f>
        <v>37293</v>
      </c>
      <c r="B46" s="32"/>
      <c r="C46" s="32"/>
      <c r="D46" s="350">
        <f>+D37</f>
        <v>11493</v>
      </c>
    </row>
    <row r="47" spans="1:4" x14ac:dyDescent="0.25">
      <c r="A47" s="32"/>
      <c r="B47" s="32"/>
      <c r="C47" s="32"/>
      <c r="D47" s="14">
        <f>+D46+D45</f>
        <v>97525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4" workbookViewId="0">
      <selection activeCell="C12" sqref="C1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185464</v>
      </c>
      <c r="C37" s="11">
        <f>SUM(C6:C36)</f>
        <v>197154</v>
      </c>
      <c r="D37" s="25">
        <f>SUM(D6:D36)</f>
        <v>11690</v>
      </c>
    </row>
    <row r="38" spans="1:4" x14ac:dyDescent="0.25">
      <c r="A38" s="26"/>
      <c r="B38" s="31"/>
      <c r="C38" s="14"/>
      <c r="D38" s="326">
        <f>+summary!G5</f>
        <v>2.0499999999999998</v>
      </c>
    </row>
    <row r="39" spans="1:4" x14ac:dyDescent="0.25">
      <c r="D39" s="138">
        <f>+D38*D37</f>
        <v>23964.499999999996</v>
      </c>
    </row>
    <row r="40" spans="1:4" x14ac:dyDescent="0.25">
      <c r="A40" s="57">
        <v>37287</v>
      </c>
      <c r="C40" s="15"/>
      <c r="D40" s="528">
        <v>100993</v>
      </c>
    </row>
    <row r="41" spans="1:4" x14ac:dyDescent="0.25">
      <c r="A41" s="57">
        <v>37293</v>
      </c>
      <c r="C41" s="48"/>
      <c r="D41" s="138">
        <f>+D40+D39</f>
        <v>124957.5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23">
        <v>62232</v>
      </c>
    </row>
    <row r="46" spans="1:4" x14ac:dyDescent="0.25">
      <c r="A46" s="49">
        <f>+A41</f>
        <v>37293</v>
      </c>
      <c r="B46" s="32"/>
      <c r="C46" s="32"/>
      <c r="D46" s="350">
        <f>+D37</f>
        <v>11690</v>
      </c>
    </row>
    <row r="47" spans="1:4" x14ac:dyDescent="0.25">
      <c r="A47" s="32"/>
      <c r="B47" s="32"/>
      <c r="C47" s="32"/>
      <c r="D47" s="14">
        <f>+D46+D45</f>
        <v>73922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A41" sqref="A4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1964080</v>
      </c>
      <c r="C35" s="11">
        <f t="shared" ref="C35:I35" si="3">SUM(C4:C34)</f>
        <v>1980872</v>
      </c>
      <c r="D35" s="11">
        <f t="shared" si="3"/>
        <v>233446</v>
      </c>
      <c r="E35" s="11">
        <f t="shared" si="3"/>
        <v>232391</v>
      </c>
      <c r="F35" s="11">
        <f t="shared" si="3"/>
        <v>236032</v>
      </c>
      <c r="G35" s="11">
        <f t="shared" si="3"/>
        <v>232939</v>
      </c>
      <c r="H35" s="11">
        <f t="shared" si="3"/>
        <v>749709</v>
      </c>
      <c r="I35" s="11">
        <f t="shared" si="3"/>
        <v>734963</v>
      </c>
      <c r="J35" s="11">
        <f>SUM(J4:J34)</f>
        <v>-2102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37293</v>
      </c>
      <c r="J40" s="51">
        <f>+J38+J35</f>
        <v>958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37293</v>
      </c>
      <c r="B47" s="32"/>
      <c r="C47" s="32"/>
      <c r="D47" s="375">
        <f>+J35*'by type_area'!G3</f>
        <v>-4309.0999999999995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2024.9000000000005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97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97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98"/>
    </row>
    <row r="11" spans="1:6" x14ac:dyDescent="0.25">
      <c r="A11" s="10">
        <v>6</v>
      </c>
      <c r="B11" s="11"/>
      <c r="C11" s="11"/>
      <c r="D11" s="25">
        <f t="shared" si="0"/>
        <v>0</v>
      </c>
      <c r="F11" s="598"/>
    </row>
    <row r="12" spans="1:6" x14ac:dyDescent="0.25">
      <c r="A12" s="10">
        <v>7</v>
      </c>
      <c r="B12" s="11"/>
      <c r="C12" s="11"/>
      <c r="D12" s="25">
        <f t="shared" si="0"/>
        <v>0</v>
      </c>
      <c r="F12" s="598"/>
    </row>
    <row r="13" spans="1:6" x14ac:dyDescent="0.25">
      <c r="A13" s="10">
        <v>8</v>
      </c>
      <c r="B13" s="11"/>
      <c r="C13" s="11"/>
      <c r="D13" s="25">
        <f t="shared" si="0"/>
        <v>0</v>
      </c>
      <c r="F13" s="598"/>
    </row>
    <row r="14" spans="1:6" x14ac:dyDescent="0.25">
      <c r="A14" s="10">
        <v>9</v>
      </c>
      <c r="B14" s="11"/>
      <c r="C14" s="11"/>
      <c r="D14" s="25">
        <f t="shared" si="0"/>
        <v>0</v>
      </c>
    </row>
    <row r="15" spans="1:6" x14ac:dyDescent="0.25">
      <c r="A15" s="10">
        <v>10</v>
      </c>
      <c r="B15" s="11"/>
      <c r="C15" s="11"/>
      <c r="D15" s="25">
        <f t="shared" si="0"/>
        <v>0</v>
      </c>
    </row>
    <row r="16" spans="1:6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5">
      <c r="A38" s="26"/>
      <c r="C38" s="14"/>
      <c r="D38" s="326">
        <f>+summary!G5</f>
        <v>2.0499999999999998</v>
      </c>
    </row>
    <row r="39" spans="1:4" x14ac:dyDescent="0.25">
      <c r="D39" s="138">
        <f>+D38*D37</f>
        <v>5824.0499999999993</v>
      </c>
    </row>
    <row r="40" spans="1:4" x14ac:dyDescent="0.25">
      <c r="A40" s="57">
        <v>37287</v>
      </c>
      <c r="C40" s="15"/>
      <c r="D40" s="531">
        <v>4386</v>
      </c>
    </row>
    <row r="41" spans="1:4" x14ac:dyDescent="0.25">
      <c r="A41" s="57">
        <v>37292</v>
      </c>
      <c r="C41" s="48"/>
      <c r="D41" s="138">
        <f>+D40+D39</f>
        <v>10210.049999999999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1925</v>
      </c>
    </row>
    <row r="47" spans="1:4" x14ac:dyDescent="0.25">
      <c r="A47" s="49">
        <f>+A41</f>
        <v>37292</v>
      </c>
      <c r="B47" s="32"/>
      <c r="C47" s="32"/>
      <c r="D47" s="350">
        <f>+D37</f>
        <v>2841</v>
      </c>
    </row>
    <row r="48" spans="1:4" x14ac:dyDescent="0.25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3" sqref="C33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-6774</v>
      </c>
      <c r="C37" s="11">
        <f>SUM(C6:C36)</f>
        <v>-3277</v>
      </c>
      <c r="D37" s="25">
        <f>SUM(D6:D36)</f>
        <v>3497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7168.8499999999995</v>
      </c>
    </row>
    <row r="40" spans="1:4" x14ac:dyDescent="0.25">
      <c r="A40" s="57">
        <v>37287</v>
      </c>
      <c r="C40" s="15"/>
      <c r="D40" s="528">
        <v>-292829</v>
      </c>
    </row>
    <row r="41" spans="1:4" x14ac:dyDescent="0.25">
      <c r="A41" s="57">
        <v>37293</v>
      </c>
      <c r="C41" s="48"/>
      <c r="D41" s="138">
        <f>+D40+D39</f>
        <v>-285660.15000000002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23">
        <v>-14344</v>
      </c>
    </row>
    <row r="49" spans="1:4" x14ac:dyDescent="0.25">
      <c r="A49" s="49">
        <f>+A41</f>
        <v>37293</v>
      </c>
      <c r="B49" s="32"/>
      <c r="C49" s="32"/>
      <c r="D49" s="350">
        <f>+D37</f>
        <v>3497</v>
      </c>
    </row>
    <row r="50" spans="1:4" x14ac:dyDescent="0.25">
      <c r="A50" s="32"/>
      <c r="B50" s="32"/>
      <c r="C50" s="32"/>
      <c r="D50" s="14">
        <f>+D49+D48</f>
        <v>-10847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12" sqref="C1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-362603</v>
      </c>
      <c r="C37" s="11">
        <f>SUM(C6:C36)</f>
        <v>-349297</v>
      </c>
      <c r="D37" s="25">
        <f>SUM(D6:D36)</f>
        <v>13306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27277.3</v>
      </c>
    </row>
    <row r="40" spans="1:4" x14ac:dyDescent="0.25">
      <c r="A40" s="57">
        <v>37287</v>
      </c>
      <c r="C40" s="15"/>
      <c r="D40" s="528">
        <v>21548</v>
      </c>
    </row>
    <row r="41" spans="1:4" x14ac:dyDescent="0.25">
      <c r="A41" s="57">
        <v>37293</v>
      </c>
      <c r="C41" s="48"/>
      <c r="D41" s="138">
        <f>+D40+D39</f>
        <v>48825.3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13942</v>
      </c>
    </row>
    <row r="47" spans="1:4" x14ac:dyDescent="0.25">
      <c r="A47" s="49">
        <f>+A41</f>
        <v>37293</v>
      </c>
      <c r="B47" s="32"/>
      <c r="C47" s="32"/>
      <c r="D47" s="350">
        <f>+D37</f>
        <v>13306</v>
      </c>
    </row>
    <row r="48" spans="1:4" x14ac:dyDescent="0.25">
      <c r="A48" s="32"/>
      <c r="B48" s="32"/>
      <c r="C48" s="32"/>
      <c r="D48" s="14">
        <f>+D47+D46</f>
        <v>27248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5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0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2.0499999999999998</v>
      </c>
      <c r="E13" s="277"/>
      <c r="F13" s="273"/>
    </row>
    <row r="14" spans="1:13" x14ac:dyDescent="0.25">
      <c r="A14" s="87"/>
      <c r="B14" s="88"/>
      <c r="C14" s="88"/>
      <c r="D14" s="96">
        <f>+D13*D12</f>
        <v>0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23">
        <v>-42903</v>
      </c>
    </row>
    <row r="23" spans="1:7" x14ac:dyDescent="0.25">
      <c r="A23" s="49"/>
      <c r="B23" s="32"/>
      <c r="C23" s="32"/>
      <c r="D23" s="350">
        <f>+D12</f>
        <v>0</v>
      </c>
    </row>
    <row r="24" spans="1:7" x14ac:dyDescent="0.25">
      <c r="A24" s="49">
        <f>+A18</f>
        <v>37287</v>
      </c>
      <c r="B24" s="32"/>
      <c r="C24" s="32"/>
      <c r="D24" s="14">
        <f>+D23+D22</f>
        <v>-42903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B32" sqref="B3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08">
        <v>-57711</v>
      </c>
      <c r="C9" s="11">
        <v>-57711</v>
      </c>
      <c r="D9" s="25">
        <f t="shared" si="0"/>
        <v>0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-232462</v>
      </c>
      <c r="C37" s="11">
        <f>SUM(C6:C36)</f>
        <v>-231102</v>
      </c>
      <c r="D37" s="25">
        <f>SUM(D6:D36)</f>
        <v>1360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37287</v>
      </c>
      <c r="C40" s="15"/>
      <c r="D40" s="488">
        <v>-3066</v>
      </c>
    </row>
    <row r="41" spans="1:4" x14ac:dyDescent="0.25">
      <c r="A41" s="57">
        <v>37292</v>
      </c>
      <c r="C41" s="48"/>
      <c r="D41" s="25">
        <f>+D40+D37</f>
        <v>-1706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7">
        <v>186633</v>
      </c>
    </row>
    <row r="46" spans="1:4" x14ac:dyDescent="0.25">
      <c r="A46" s="49">
        <f>+A41</f>
        <v>37292</v>
      </c>
      <c r="B46" s="32"/>
      <c r="C46" s="32"/>
      <c r="D46" s="375">
        <f>+D37*'by type_area'!G4</f>
        <v>2787.9999999999995</v>
      </c>
    </row>
    <row r="47" spans="1:4" x14ac:dyDescent="0.25">
      <c r="A47" s="32"/>
      <c r="B47" s="32"/>
      <c r="C47" s="32"/>
      <c r="D47" s="200">
        <f>+D46+D45</f>
        <v>189421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7" sqref="D4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2.0499999999999998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28">
        <v>-192231</v>
      </c>
    </row>
    <row r="41" spans="1:4" x14ac:dyDescent="0.25">
      <c r="A41" s="57">
        <v>37287</v>
      </c>
      <c r="C41" s="48"/>
      <c r="D41" s="138">
        <f>+D40+D39</f>
        <v>-192231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-45944</v>
      </c>
    </row>
    <row r="47" spans="1:4" x14ac:dyDescent="0.25">
      <c r="A47" s="49">
        <f>+A41</f>
        <v>37287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-45944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2.0499999999999998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2556.35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37290</v>
      </c>
      <c r="J43" s="319">
        <f>+J41+J39</f>
        <v>-34637.65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280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2.0499999999999998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836.4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37290</v>
      </c>
      <c r="N43" s="319">
        <f>+N41+N39</f>
        <v>25669.4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1177</v>
      </c>
      <c r="C37" s="11">
        <f>SUM(C6:C36)</f>
        <v>900</v>
      </c>
      <c r="D37" s="25">
        <f>SUM(D6:D36)</f>
        <v>-277</v>
      </c>
    </row>
    <row r="38" spans="1:4" x14ac:dyDescent="0.25">
      <c r="A38" s="26"/>
      <c r="C38" s="14"/>
      <c r="D38" s="326">
        <f>+summary!G5</f>
        <v>2.0499999999999998</v>
      </c>
    </row>
    <row r="39" spans="1:4" x14ac:dyDescent="0.25">
      <c r="D39" s="138">
        <f>+D38*D37</f>
        <v>-567.84999999999991</v>
      </c>
    </row>
    <row r="40" spans="1:4" x14ac:dyDescent="0.25">
      <c r="A40" s="57">
        <v>37287</v>
      </c>
      <c r="C40" s="15"/>
      <c r="D40" s="528">
        <v>174567</v>
      </c>
    </row>
    <row r="41" spans="1:4" x14ac:dyDescent="0.25">
      <c r="A41" s="57">
        <v>37293</v>
      </c>
      <c r="C41" s="48"/>
      <c r="D41" s="138">
        <f>+D40+D39</f>
        <v>173999.15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76390</v>
      </c>
    </row>
    <row r="47" spans="1:4" x14ac:dyDescent="0.25">
      <c r="A47" s="49">
        <f>+A41</f>
        <v>37293</v>
      </c>
      <c r="B47" s="32"/>
      <c r="C47" s="32"/>
      <c r="D47" s="350">
        <f>+D37</f>
        <v>-277</v>
      </c>
    </row>
    <row r="48" spans="1:4" x14ac:dyDescent="0.25">
      <c r="A48" s="32"/>
      <c r="B48" s="32"/>
      <c r="C48" s="32"/>
      <c r="D48" s="14">
        <f>+D47+D46</f>
        <v>76113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21" sqref="A2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8246</v>
      </c>
      <c r="C37" s="11">
        <f>SUM(C6:C36)</f>
        <v>1080</v>
      </c>
      <c r="D37" s="25">
        <f>SUM(D6:D36)</f>
        <v>-7166</v>
      </c>
    </row>
    <row r="38" spans="1:4" x14ac:dyDescent="0.25">
      <c r="A38" s="26"/>
      <c r="C38" s="14"/>
      <c r="D38" s="326">
        <f>+summary!G5</f>
        <v>2.0499999999999998</v>
      </c>
    </row>
    <row r="39" spans="1:4" x14ac:dyDescent="0.25">
      <c r="D39" s="138">
        <f>+D38*D37</f>
        <v>-14690.3</v>
      </c>
    </row>
    <row r="40" spans="1:4" x14ac:dyDescent="0.25">
      <c r="A40" s="57">
        <v>37287</v>
      </c>
      <c r="C40" s="15"/>
      <c r="D40" s="528">
        <v>146608</v>
      </c>
    </row>
    <row r="41" spans="1:4" x14ac:dyDescent="0.25">
      <c r="A41" s="57">
        <v>37293</v>
      </c>
      <c r="C41" s="48"/>
      <c r="D41" s="138">
        <f>+D40+D39</f>
        <v>131917.70000000001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26945</v>
      </c>
    </row>
    <row r="47" spans="1:4" x14ac:dyDescent="0.25">
      <c r="A47" s="49">
        <f>+A41</f>
        <v>37293</v>
      </c>
      <c r="B47" s="32"/>
      <c r="C47" s="32"/>
      <c r="D47" s="350">
        <f>+D37</f>
        <v>-7166</v>
      </c>
    </row>
    <row r="48" spans="1:4" x14ac:dyDescent="0.25">
      <c r="A48" s="32"/>
      <c r="B48" s="32"/>
      <c r="C48" s="32"/>
      <c r="D48" s="14">
        <f>+D47+D46</f>
        <v>19779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3" workbookViewId="0">
      <selection activeCell="K27" sqref="K27:L35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600" t="s">
        <v>49</v>
      </c>
      <c r="P9" s="60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-52801</v>
      </c>
      <c r="C36" s="44">
        <f>SUM(C5:C35)</f>
        <v>-50000</v>
      </c>
      <c r="D36" s="43">
        <f>SUM(D5:D35)</f>
        <v>-292044</v>
      </c>
      <c r="E36" s="43">
        <f>SUM(E5:E35)</f>
        <v>-289400</v>
      </c>
      <c r="F36" s="11">
        <f>SUM(F5:F35)</f>
        <v>5445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94">
        <f>+summary!G5</f>
        <v>2.0499999999999998</v>
      </c>
      <c r="G39" s="32"/>
      <c r="H39" s="204"/>
      <c r="I39" s="150"/>
      <c r="J39" s="346"/>
      <c r="K39" s="452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11162.249999999998</v>
      </c>
      <c r="G40" s="32"/>
      <c r="H40" s="204"/>
      <c r="I40" s="206"/>
      <c r="J40" s="346"/>
      <c r="K40" s="346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2"/>
      <c r="D42" s="111"/>
      <c r="E42" s="462"/>
      <c r="F42" s="493">
        <v>41682</v>
      </c>
      <c r="G42" s="32"/>
      <c r="H42" s="453"/>
      <c r="I42" s="206"/>
      <c r="J42" s="454"/>
      <c r="K42" s="454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37293</v>
      </c>
      <c r="B43" s="32"/>
      <c r="C43" s="106"/>
      <c r="D43" s="106"/>
      <c r="E43" s="106"/>
      <c r="F43" s="24">
        <f>+F42+F36</f>
        <v>47127</v>
      </c>
      <c r="H43" s="290"/>
      <c r="I43" s="290"/>
      <c r="J43" s="290"/>
      <c r="K43" s="290"/>
      <c r="L43" s="455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37293</v>
      </c>
      <c r="B49" s="32"/>
      <c r="C49" s="32"/>
      <c r="D49" s="76">
        <f>+F36</f>
        <v>5445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57394.239999999998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B6" sqref="B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-12600</v>
      </c>
      <c r="C37" s="24">
        <f>SUM(C6:C36)</f>
        <v>-20231</v>
      </c>
      <c r="D37" s="24">
        <f>SUM(D6:D36)</f>
        <v>-10680</v>
      </c>
      <c r="E37" s="24">
        <f>SUM(E6:E36)</f>
        <v>-12000</v>
      </c>
      <c r="F37" s="24">
        <f>SUM(F6:F36)</f>
        <v>-8951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-18349.55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37293</v>
      </c>
      <c r="C41" s="319"/>
      <c r="D41" s="262"/>
      <c r="E41" s="262"/>
      <c r="F41" s="104">
        <f>+F40+F39</f>
        <v>-135859.82999999999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37293</v>
      </c>
      <c r="B47" s="32"/>
      <c r="C47" s="32"/>
      <c r="D47" s="350">
        <f>+F37</f>
        <v>-8951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-44726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E11" sqref="E11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-2039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-86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-13492</v>
      </c>
      <c r="C37" s="24">
        <f t="shared" si="1"/>
        <v>-12600</v>
      </c>
      <c r="D37" s="24">
        <f t="shared" si="1"/>
        <v>0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742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2.0499999999999998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1521.1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37293</v>
      </c>
      <c r="E41" s="14"/>
      <c r="O41" s="442"/>
      <c r="P41" s="104">
        <f>+P40+P39</f>
        <v>93730.02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37293</v>
      </c>
      <c r="B47" s="32"/>
      <c r="C47" s="32"/>
      <c r="D47" s="350">
        <f>+P37</f>
        <v>742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38956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277</v>
      </c>
      <c r="C3" s="87"/>
      <c r="D3" s="87"/>
    </row>
    <row r="4" spans="1:4" x14ac:dyDescent="0.25">
      <c r="A4" s="3"/>
      <c r="B4" s="328" t="s">
        <v>276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192.7</v>
      </c>
    </row>
    <row r="40" spans="1:4" x14ac:dyDescent="0.25">
      <c r="A40" s="57">
        <v>37287</v>
      </c>
      <c r="C40" s="15"/>
      <c r="D40" s="528">
        <v>-20671</v>
      </c>
    </row>
    <row r="41" spans="1:4" x14ac:dyDescent="0.25">
      <c r="A41" s="57">
        <v>37290</v>
      </c>
      <c r="C41" s="48"/>
      <c r="D41" s="138">
        <f>+D40+D39</f>
        <v>-20478.3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3117</v>
      </c>
    </row>
    <row r="47" spans="1:4" x14ac:dyDescent="0.25">
      <c r="A47" s="49">
        <f>+A41</f>
        <v>37290</v>
      </c>
      <c r="B47" s="32"/>
      <c r="C47" s="32"/>
      <c r="D47" s="350">
        <f>+D37</f>
        <v>94</v>
      </c>
    </row>
    <row r="48" spans="1:4" x14ac:dyDescent="0.25">
      <c r="A48" s="32"/>
      <c r="B48" s="32"/>
      <c r="C48" s="32"/>
      <c r="D48" s="14">
        <f>+D47+D46</f>
        <v>3211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6" sqref="B6:C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296</v>
      </c>
      <c r="C3" s="87"/>
      <c r="D3" s="87"/>
    </row>
    <row r="4" spans="1:4" x14ac:dyDescent="0.25">
      <c r="A4" s="3"/>
      <c r="B4" s="328" t="s">
        <v>297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2.0499999999999998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28">
        <v>48516</v>
      </c>
    </row>
    <row r="41" spans="1:4" x14ac:dyDescent="0.25">
      <c r="A41" s="57">
        <v>37287</v>
      </c>
      <c r="C41" s="48"/>
      <c r="D41" s="138">
        <f>+D40+D39</f>
        <v>48516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17403</v>
      </c>
    </row>
    <row r="47" spans="1:4" x14ac:dyDescent="0.25">
      <c r="A47" s="49">
        <f>+A41</f>
        <v>37287</v>
      </c>
      <c r="B47" s="32"/>
      <c r="C47" s="32"/>
      <c r="D47" s="350">
        <f>+D37</f>
        <v>0</v>
      </c>
    </row>
    <row r="48" spans="1:4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5" t="s">
        <v>280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6" t="s">
        <v>282</v>
      </c>
      <c r="C4" s="557"/>
      <c r="D4" s="558" t="s">
        <v>283</v>
      </c>
      <c r="E4" s="557"/>
      <c r="F4" s="558" t="s">
        <v>284</v>
      </c>
      <c r="G4" s="557"/>
      <c r="H4" s="558" t="s">
        <v>285</v>
      </c>
      <c r="I4" s="557"/>
      <c r="J4" s="558" t="s">
        <v>286</v>
      </c>
      <c r="K4" s="557"/>
      <c r="L4" s="558" t="s">
        <v>287</v>
      </c>
      <c r="M4" s="557"/>
      <c r="N4" s="557"/>
    </row>
    <row r="5" spans="1:37" x14ac:dyDescent="0.25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5">
      <c r="N38" s="264">
        <f>+summary!G4</f>
        <v>2.0499999999999998</v>
      </c>
      <c r="P38" s="51"/>
      <c r="T38" s="566"/>
      <c r="U38" s="19"/>
      <c r="V38" s="567"/>
      <c r="W38" s="252"/>
      <c r="X38" s="264"/>
      <c r="Y38" s="564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5">
      <c r="N40" s="329"/>
      <c r="P40" s="566"/>
      <c r="T40" s="566"/>
      <c r="U40" s="19"/>
      <c r="V40" s="567"/>
      <c r="W40" s="252"/>
      <c r="X40" s="264"/>
      <c r="Y40" s="564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5">
      <c r="N42" s="319"/>
      <c r="P42" s="566"/>
      <c r="T42" s="566"/>
      <c r="U42" s="19"/>
      <c r="V42" s="567"/>
      <c r="W42" s="252"/>
      <c r="X42" s="264"/>
      <c r="Y42" s="564"/>
    </row>
    <row r="43" spans="1:25" x14ac:dyDescent="0.25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5">
      <c r="N44" s="329"/>
      <c r="P44" s="566"/>
      <c r="T44" s="566"/>
      <c r="U44" s="19"/>
      <c r="V44" s="567"/>
      <c r="W44" s="252"/>
      <c r="X44" s="264"/>
      <c r="Y44" s="564"/>
    </row>
    <row r="45" spans="1:25" x14ac:dyDescent="0.25">
      <c r="P45" s="566"/>
      <c r="T45" s="566"/>
      <c r="U45" s="19"/>
      <c r="V45" s="567"/>
      <c r="W45" s="252"/>
      <c r="X45" s="264"/>
      <c r="Y45" s="564"/>
    </row>
    <row r="46" spans="1:25" x14ac:dyDescent="0.25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5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5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5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5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5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5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5">
      <c r="A84" s="261"/>
      <c r="O84" s="565"/>
      <c r="P84" s="566"/>
      <c r="Q84" s="566"/>
      <c r="R84" s="566"/>
      <c r="S84" s="566"/>
      <c r="T84" s="566"/>
      <c r="V84" s="574"/>
    </row>
    <row r="85" spans="1:22" x14ac:dyDescent="0.25">
      <c r="A85" s="261"/>
      <c r="O85" s="565"/>
      <c r="P85" s="566"/>
      <c r="Q85" s="566"/>
      <c r="R85" s="566"/>
      <c r="S85" s="566"/>
      <c r="T85" s="566"/>
      <c r="V85" s="574"/>
    </row>
    <row r="86" spans="1:22" x14ac:dyDescent="0.25">
      <c r="A86" s="261"/>
      <c r="O86" s="565"/>
      <c r="P86" s="566"/>
      <c r="Q86" s="566"/>
      <c r="R86" s="566"/>
      <c r="S86" s="566"/>
      <c r="T86" s="566"/>
      <c r="V86" s="574"/>
    </row>
    <row r="87" spans="1:22" x14ac:dyDescent="0.25">
      <c r="A87" s="261"/>
      <c r="O87" s="565"/>
      <c r="P87" s="566"/>
      <c r="Q87" s="566"/>
      <c r="R87" s="566"/>
      <c r="S87" s="566"/>
      <c r="T87" s="566"/>
      <c r="V87" s="574"/>
    </row>
    <row r="88" spans="1:22" x14ac:dyDescent="0.25">
      <c r="A88" s="261"/>
      <c r="O88" s="565"/>
      <c r="P88" s="566"/>
      <c r="Q88" s="566"/>
      <c r="R88" s="566"/>
      <c r="S88" s="566"/>
      <c r="T88" s="566"/>
      <c r="V88" s="574"/>
    </row>
    <row r="89" spans="1:22" x14ac:dyDescent="0.25">
      <c r="A89" s="261"/>
      <c r="O89" s="565"/>
      <c r="P89" s="566"/>
      <c r="Q89" s="566"/>
      <c r="R89" s="566"/>
      <c r="S89" s="566"/>
      <c r="T89" s="566"/>
      <c r="V89" s="574"/>
    </row>
    <row r="90" spans="1:22" x14ac:dyDescent="0.25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5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5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5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7"/>
      <c r="K166" s="577"/>
      <c r="M166" s="577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5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7"/>
      <c r="K208" s="577"/>
      <c r="M208" s="577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5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7"/>
      <c r="K251" s="577"/>
      <c r="M251" s="577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5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7"/>
      <c r="K293" s="577"/>
      <c r="M293" s="577"/>
      <c r="V293" s="577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5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8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5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5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8"/>
      <c r="W378" s="579"/>
    </row>
    <row r="381" spans="14:23" x14ac:dyDescent="0.25">
      <c r="O381" s="465"/>
      <c r="Q381" s="465"/>
      <c r="S381" s="465"/>
      <c r="U381" s="465"/>
    </row>
    <row r="382" spans="14:23" x14ac:dyDescent="0.25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5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5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8"/>
      <c r="W420" s="579"/>
    </row>
    <row r="425" spans="14:23" x14ac:dyDescent="0.25">
      <c r="O425" s="465"/>
      <c r="Q425" s="465"/>
      <c r="S425" s="465"/>
      <c r="U425" s="465"/>
    </row>
    <row r="426" spans="14:23" x14ac:dyDescent="0.25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5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5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8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5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5">
      <c r="A39" s="26"/>
      <c r="C39" s="14"/>
      <c r="D39" s="106">
        <f>+summary!G3</f>
        <v>2.0499999999999998</v>
      </c>
    </row>
    <row r="40" spans="1:8" x14ac:dyDescent="0.25">
      <c r="D40" s="138">
        <f>+D39*D38</f>
        <v>-1877.7999999999997</v>
      </c>
      <c r="H40">
        <v>20</v>
      </c>
    </row>
    <row r="41" spans="1:8" x14ac:dyDescent="0.25">
      <c r="A41" s="57">
        <v>37287</v>
      </c>
      <c r="C41" s="15"/>
      <c r="D41" s="541">
        <v>-13712</v>
      </c>
      <c r="H41">
        <v>530</v>
      </c>
    </row>
    <row r="42" spans="1:8" x14ac:dyDescent="0.25">
      <c r="A42" s="57">
        <v>37290</v>
      </c>
      <c r="D42" s="319">
        <f>+D41+D40</f>
        <v>-15589.8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23">
        <v>-9206</v>
      </c>
    </row>
    <row r="48" spans="1:8" x14ac:dyDescent="0.25">
      <c r="A48" s="49">
        <f>+A42</f>
        <v>37290</v>
      </c>
      <c r="B48" s="32"/>
      <c r="C48" s="32"/>
      <c r="D48" s="350">
        <f>+D38</f>
        <v>-916</v>
      </c>
    </row>
    <row r="49" spans="1:4" x14ac:dyDescent="0.25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3" sqref="C33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-1475720</v>
      </c>
      <c r="C35" s="11">
        <f>SUM(C4:C34)</f>
        <v>-1468815</v>
      </c>
      <c r="D35" s="11">
        <f>SUM(D4:D34)</f>
        <v>6905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30">
        <v>28722</v>
      </c>
    </row>
    <row r="39" spans="1:30" x14ac:dyDescent="0.25">
      <c r="A39" s="12"/>
      <c r="D39" s="51"/>
    </row>
    <row r="40" spans="1:30" x14ac:dyDescent="0.25">
      <c r="A40" s="245">
        <v>37293</v>
      </c>
      <c r="D40" s="51">
        <f>+D38+D35</f>
        <v>35627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37293</v>
      </c>
      <c r="B46" s="32"/>
      <c r="C46" s="32"/>
      <c r="D46" s="375">
        <f>+D35*'by type_area'!G4</f>
        <v>14155.249999999998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-129513.75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D32" sqref="D32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-3589492</v>
      </c>
      <c r="C35" s="11">
        <f>SUM(C4:C34)</f>
        <v>-3606428</v>
      </c>
      <c r="D35" s="11">
        <f>SUM(D4:D34)</f>
        <v>0</v>
      </c>
      <c r="E35" s="11">
        <f>SUM(E4:E34)</f>
        <v>0</v>
      </c>
      <c r="F35" s="11">
        <f>SUM(F4:F34)</f>
        <v>-16936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32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37293</v>
      </c>
      <c r="D40" s="246"/>
      <c r="E40" s="246"/>
      <c r="F40" s="51">
        <f>+F38+F35</f>
        <v>77076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37293</v>
      </c>
      <c r="B46" s="32"/>
      <c r="C46" s="32"/>
      <c r="D46" s="474">
        <f>+F35*'by type_area'!G4</f>
        <v>-34718.799999999996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275549.2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workbookViewId="0">
      <selection activeCell="E7" sqref="E7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-193294</v>
      </c>
      <c r="C35" s="44">
        <f t="shared" si="3"/>
        <v>-672</v>
      </c>
      <c r="D35" s="11">
        <f t="shared" si="3"/>
        <v>0</v>
      </c>
      <c r="E35" s="44">
        <f t="shared" si="3"/>
        <v>-192463</v>
      </c>
      <c r="F35" s="11">
        <f t="shared" si="3"/>
        <v>0</v>
      </c>
      <c r="G35" s="11">
        <f t="shared" si="3"/>
        <v>0</v>
      </c>
      <c r="H35" s="11">
        <f t="shared" si="3"/>
        <v>159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2.0499999999999998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325.95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37293</v>
      </c>
      <c r="F39" s="473"/>
      <c r="G39" s="473"/>
      <c r="H39" s="319">
        <f>+H38+H37</f>
        <v>10192.950000000001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37293</v>
      </c>
      <c r="E47" s="459">
        <f>+H35</f>
        <v>159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32635</v>
      </c>
      <c r="F48" s="129"/>
      <c r="G48" s="129"/>
      <c r="H48" s="129"/>
      <c r="I48" s="262"/>
      <c r="J48" s="102"/>
      <c r="K48" s="514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30" workbookViewId="0">
      <selection activeCell="E32" sqref="E32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-1922977</v>
      </c>
      <c r="E36" s="11">
        <f t="shared" si="15"/>
        <v>-1926872</v>
      </c>
      <c r="F36" s="11">
        <f t="shared" si="15"/>
        <v>0</v>
      </c>
      <c r="G36" s="11">
        <f t="shared" si="15"/>
        <v>0</v>
      </c>
      <c r="H36" s="11">
        <f t="shared" si="15"/>
        <v>-3895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-3895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38">
        <v>64269</v>
      </c>
      <c r="D38" s="320"/>
      <c r="E38" s="53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37293</v>
      </c>
      <c r="B39" s="2" t="s">
        <v>45</v>
      </c>
      <c r="C39" s="131">
        <f>+C38+C37</f>
        <v>64269</v>
      </c>
      <c r="D39" s="252"/>
      <c r="E39" s="131">
        <f>+E38+E37</f>
        <v>10713</v>
      </c>
      <c r="F39" s="252"/>
      <c r="G39" s="131"/>
      <c r="H39" s="131">
        <f>+H38+H36</f>
        <v>74982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37293</v>
      </c>
      <c r="B45" s="32"/>
      <c r="C45" s="47">
        <f>+C37*summary!G4</f>
        <v>0</v>
      </c>
      <c r="D45" s="205"/>
      <c r="E45" s="377">
        <f>+E37*summary!G3</f>
        <v>-7984.7499999999991</v>
      </c>
      <c r="F45" s="47">
        <f>+E45+C45</f>
        <v>-7984.7499999999991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6" sqref="C3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11963</v>
      </c>
      <c r="E12" s="11">
        <v>13033</v>
      </c>
      <c r="F12" s="11">
        <f t="shared" si="5"/>
        <v>1137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37292</v>
      </c>
      <c r="I23" s="11">
        <f>+B39</f>
        <v>920453</v>
      </c>
      <c r="J23" s="11">
        <f>+C39</f>
        <v>919028</v>
      </c>
      <c r="K23" s="11">
        <f>+D39</f>
        <v>63035</v>
      </c>
      <c r="L23" s="11">
        <f>+E39</f>
        <v>64223</v>
      </c>
      <c r="M23" s="42">
        <f>+J23-I23+L23-K23</f>
        <v>-237</v>
      </c>
      <c r="N23" s="102">
        <f>+summary!G3</f>
        <v>2.0499999999999998</v>
      </c>
      <c r="O23" s="502">
        <f>+N23*M23</f>
        <v>-485.84999999999997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89563</v>
      </c>
      <c r="N24" s="102"/>
      <c r="O24" s="102">
        <f>SUM(O9:O23)</f>
        <v>567630.49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920453</v>
      </c>
      <c r="C39" s="150">
        <f>SUM(C8:C38)</f>
        <v>919028</v>
      </c>
      <c r="D39" s="150">
        <f>SUM(D8:D38)</f>
        <v>63035</v>
      </c>
      <c r="E39" s="150">
        <f>SUM(E8:E38)</f>
        <v>64223</v>
      </c>
      <c r="F39" s="11">
        <f t="shared" si="5"/>
        <v>-237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37292</v>
      </c>
      <c r="B45" s="32"/>
      <c r="C45" s="106"/>
      <c r="D45" s="106"/>
      <c r="E45" s="106"/>
      <c r="F45" s="24">
        <f>+F44+F39</f>
        <v>17765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37292</v>
      </c>
      <c r="B51" s="32"/>
      <c r="C51" s="32"/>
      <c r="D51" s="350">
        <f>+F39*summary!G3</f>
        <v>-485.84999999999997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408768.15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2002-02-04T17:10:29Z</cp:lastPrinted>
  <dcterms:created xsi:type="dcterms:W3CDTF">2000-03-28T16:52:23Z</dcterms:created>
  <dcterms:modified xsi:type="dcterms:W3CDTF">2023-09-10T12:01:55Z</dcterms:modified>
</cp:coreProperties>
</file>