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burlington" sheetId="69" r:id="rId44"/>
  </sheets>
  <externalReferences>
    <externalReference r:id="rId45"/>
    <externalReference r:id="rId46"/>
    <externalReference r:id="rId47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type_area'!$A$2:$L$52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summary!$A$2:$J$58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B5" i="8" l="1"/>
  <c r="D5" i="8"/>
  <c r="B6" i="8"/>
  <c r="D6" i="8"/>
  <c r="B7" i="8"/>
  <c r="D7" i="8"/>
  <c r="B8" i="8"/>
  <c r="D8" i="8"/>
  <c r="B9" i="8"/>
  <c r="D9" i="8"/>
  <c r="D10" i="8"/>
  <c r="D11" i="8"/>
  <c r="B12" i="8"/>
  <c r="D12" i="8"/>
  <c r="B13" i="8"/>
  <c r="D13" i="8"/>
  <c r="D14" i="8"/>
  <c r="D15" i="8"/>
  <c r="B16" i="8"/>
  <c r="D16" i="8"/>
  <c r="B17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F49" i="80"/>
  <c r="B50" i="80"/>
  <c r="C50" i="80"/>
  <c r="D50" i="80"/>
  <c r="E50" i="80"/>
  <c r="B52" i="80"/>
  <c r="C52" i="80"/>
  <c r="D52" i="80"/>
  <c r="E52" i="80"/>
  <c r="J58" i="80"/>
  <c r="K58" i="80"/>
  <c r="J59" i="80"/>
  <c r="J60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F84" i="80"/>
  <c r="B85" i="80"/>
  <c r="C85" i="80"/>
  <c r="D85" i="80"/>
  <c r="E85" i="80"/>
  <c r="B87" i="80"/>
  <c r="C87" i="80"/>
  <c r="D87" i="80"/>
  <c r="E87" i="80"/>
  <c r="B90" i="80"/>
  <c r="B91" i="80"/>
  <c r="A129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B6" i="78"/>
  <c r="D6" i="78"/>
  <c r="D7" i="78"/>
  <c r="B8" i="78"/>
  <c r="D8" i="78"/>
  <c r="D9" i="78"/>
  <c r="D10" i="78"/>
  <c r="D11" i="78"/>
  <c r="D12" i="78"/>
  <c r="D13" i="78"/>
  <c r="D14" i="78"/>
  <c r="D18" i="78"/>
  <c r="A22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9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D6" i="65"/>
  <c r="B7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P17" i="9"/>
  <c r="R17" i="9"/>
  <c r="H18" i="9"/>
  <c r="H19" i="9"/>
  <c r="H20" i="9"/>
  <c r="R20" i="9"/>
  <c r="H21" i="9"/>
  <c r="H22" i="9"/>
  <c r="H23" i="9"/>
  <c r="H24" i="9"/>
  <c r="H25" i="9"/>
  <c r="H26" i="9"/>
  <c r="H27" i="9"/>
  <c r="H28" i="9"/>
  <c r="H29" i="9"/>
  <c r="H30" i="9"/>
  <c r="H31" i="9"/>
  <c r="H32" i="9"/>
  <c r="B33" i="9"/>
  <c r="C33" i="9"/>
  <c r="D33" i="9"/>
  <c r="E33" i="9"/>
  <c r="F33" i="9"/>
  <c r="G33" i="9"/>
  <c r="H33" i="9"/>
  <c r="H34" i="9"/>
  <c r="H35" i="9"/>
  <c r="H37" i="9"/>
  <c r="B44" i="9"/>
  <c r="H44" i="9"/>
  <c r="B45" i="9"/>
  <c r="E45" i="9"/>
  <c r="E46" i="9"/>
  <c r="B5" i="64"/>
  <c r="D5" i="64"/>
  <c r="B6" i="64"/>
  <c r="D6" i="64"/>
  <c r="B7" i="64"/>
  <c r="D7" i="64"/>
  <c r="D8" i="64"/>
  <c r="B9" i="64"/>
  <c r="D9" i="64"/>
  <c r="D10" i="64"/>
  <c r="B11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I3" i="63"/>
  <c r="J3" i="63"/>
  <c r="I4" i="63"/>
  <c r="I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N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P26" i="63"/>
  <c r="B27" i="63"/>
  <c r="C27" i="63"/>
  <c r="D27" i="63"/>
  <c r="P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K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D53" i="63"/>
  <c r="B54" i="63"/>
  <c r="C54" i="63"/>
  <c r="B56" i="63"/>
  <c r="C56" i="63"/>
  <c r="B117" i="63"/>
  <c r="B119" i="63"/>
  <c r="B127" i="63"/>
  <c r="B140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<sst xmlns="http://schemas.openxmlformats.org/spreadsheetml/2006/main" count="1008" uniqueCount="334">
  <si>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</si>
  <si>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</si>
  <si>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</si>
  <si>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</si>
  <si>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</si>
  <si>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</si>
  <si>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</si>
  <si>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</si>
  <si>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</si>
  <si>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</si>
  <si>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</si>
  <si>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</si>
  <si>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</si>
  <si>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</si>
  <si>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</si>
  <si>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</si>
  <si>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</si>
  <si>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</si>
  <si>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</si>
  <si>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</si>
  <si>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</si>
  <si>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</si>
  <si>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</si>
  <si>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</si>
  <si>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</si>
  <si>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</si>
  <si>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</si>
  <si>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</si>
  <si>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</si>
  <si>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</si>
  <si>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</si>
  <si>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</si>
  <si>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</si>
  <si>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</si>
  <si>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</si>
  <si>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</si>
  <si>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</si>
  <si>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</si>
  <si>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</si>
  <si>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</si>
  <si>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</si>
  <si>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</si>
  <si>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</si>
  <si>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</si>
  <si>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</si>
  <si>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</si>
  <si>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</si>
  <si>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</si>
  <si>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</si>
  <si>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</si>
  <si>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</si>
  <si>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</si>
  <si>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</si>
  <si>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</si>
  <si>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</si>
  <si>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</si>
  <si>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</si>
  <si>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</si>
  <si>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</si>
  <si>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</si>
  <si>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</si>
  <si>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</si>
  <si>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</si>
  <si>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</si>
  <si>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</si>
  <si>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</si>
  <si>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</si>
  <si>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</si>
  <si>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</si>
  <si>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</si>
  <si>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</si>
  <si>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</si>
  <si>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</si>
  <si>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</si>
  <si>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</si>
  <si>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</si>
  <si>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</si>
  <si>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</si>
  <si>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</si>
  <si>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</si>
  <si>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</si>
  <si>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</si>
  <si>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</si>
  <si>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</si>
  <si>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</si>
  <si>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</si>
  <si>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</si>
  <si>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</si>
  <si>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</si>
  <si>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</si>
  <si>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</si>
  <si>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</si>
  <si>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</si>
  <si>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</si>
  <si>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</si>
  <si>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</si>
  <si>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</si>
  <si>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</si>
  <si>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</si>
  <si>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</si>
  <si>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</si>
  <si>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</si>
  <si>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</si>
  <si>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</si>
  <si>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</si>
  <si>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</si>
  <si>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</si>
  <si>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</si>
  <si>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</si>
  <si>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</si>
  <si>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</si>
  <si>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</si>
  <si>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</si>
  <si>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</si>
  <si>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</si>
  <si>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</si>
  <si>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</si>
  <si>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</si>
  <si>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</si>
  <si>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</si>
  <si>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</si>
  <si>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</si>
  <si>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</si>
  <si>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</si>
  <si>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</si>
  <si>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</si>
  <si>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</si>
  <si>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</si>
  <si>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</si>
  <si>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</si>
  <si>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</si>
  <si>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</si>
  <si>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</si>
  <si>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</si>
  <si>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</si>
  <si>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</si>
  <si>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</si>
  <si>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</si>
  <si>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</si>
  <si>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</si>
  <si>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</si>
  <si>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</si>
  <si>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</si>
  <si>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</si>
  <si>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</si>
  <si>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</si>
  <si>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</si>
  <si>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</si>
  <si>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</si>
  <si>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</si>
  <si>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</si>
  <si>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</si>
  <si>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</si>
  <si>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</si>
  <si>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</si>
  <si>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</si>
  <si>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</si>
  <si>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</si>
  <si>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</si>
  <si>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</si>
  <si>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</si>
  <si>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</si>
  <si>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</si>
  <si>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</si>
  <si>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</si>
  <si>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</si>
  <si>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</si>
  <si>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</si>
  <si>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</si>
  <si>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</si>
  <si>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</si>
  <si>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</si>
  <si>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</si>
  <si>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</si>
  <si>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</si>
  <si>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</si>
  <si>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</si>
  <si>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</si>
  <si>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</si>
  <si>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</si>
  <si>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</si>
  <si>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</si>
  <si>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</si>
  <si>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</si>
  <si>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</si>
  <si>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</si>
  <si>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</si>
  <si>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</si>
  <si>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</si>
  <si>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</si>
  <si>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</si>
  <si>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</si>
  <si>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</si>
  <si>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</si>
  <si>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</si>
  <si>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</si>
  <si>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</si>
  <si>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</si>
  <si>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</si>
  <si>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</si>
  <si>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</si>
  <si>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</si>
  <si>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</si>
  <si>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</si>
  <si>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</si>
  <si>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</si>
  <si>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</si>
  <si>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</si>
  <si>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</si>
  <si>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</si>
  <si>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</si>
  <si>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</si>
  <si>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</si>
  <si>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</si>
  <si>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</si>
  <si>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</si>
  <si>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</si>
  <si>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</si>
  <si>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</si>
  <si>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</si>
  <si>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</si>
  <si>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</si>
  <si>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</si>
  <si>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</si>
  <si>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</si>
  <si>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</si>
  <si>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</si>
  <si>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</si>
  <si>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</si>
  <si>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</si>
  <si>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</si>
  <si>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</si>
  <si>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</si>
  <si>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</si>
  <si>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</si>
  <si>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</si>
  <si>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</si>
  <si>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</si>
  <si>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</si>
  <si>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</si>
  <si>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</si>
  <si>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</si>
  <si>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</si>
  <si>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</si>
  <si>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</si>
  <si>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</si>
  <si>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</si>
  <si>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</si>
  <si>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</si>
  <si>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</si>
  <si>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</si>
  <si>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</si>
  <si>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</si>
  <si>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</si>
  <si>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</si>
  <si>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</si>
  <si>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</si>
  <si>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</si>
  <si>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</si>
  <si>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</si>
  <si>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</si>
  <si>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</si>
  <si>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</si>
  <si>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</si>
  <si>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</si>
  <si>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</si>
  <si>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</si>
  <si>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</si>
  <si>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</si>
  <si>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</si>
  <si>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</si>
  <si>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</si>
  <si>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</si>
  <si>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</si>
  <si>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</si>
  <si>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</si>
  <si>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</si>
  <si>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</si>
  <si>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</si>
  <si>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</si>
  <si>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</si>
  <si>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</si>
  <si>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</si>
  <si>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</si>
  <si>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</si>
  <si>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</si>
  <si>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</si>
  <si>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</si>
  <si>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</si>
  <si>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</si>
  <si>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</si>
  <si>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</si>
  <si>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</si>
  <si>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</si>
  <si>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</si>
  <si>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</si>
  <si>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</si>
  <si>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</si>
  <si>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</si>
  <si>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</si>
  <si>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</si>
  <si>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</si>
  <si>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</si>
  <si>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</si>
  <si>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</si>
  <si>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</si>
  <si>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</si>
  <si>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</si>
  <si>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</si>
  <si>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</si>
  <si>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</si>
  <si>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</si>
  <si>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Crawford points-sent summary to Mike Benton and Sharon Tischer on 12/31</t>
  </si>
  <si>
    <t>Hobbs, Artesia, Colburn, Feldman - Sharon Tischer</t>
  </si>
  <si>
    <t>Waha - Ken Rust, Pecos Diamond - Patric Taher(acctant)  Sandra Jenkins(marketer)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</si>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</sst>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96" fontId="0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0" fontId="22" fillId="0" borderId="0" xfId="0" applyFont="1" applyFill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3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2.1800000000000002</v>
          </cell>
          <cell r="K39">
            <v>2.13</v>
          </cell>
          <cell r="M39">
            <v>2.16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7" workbookViewId="0">
      <selection activeCell="D27" sqref="D27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5.109375" bestFit="1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6"/>
    </row>
    <row r="2" spans="1:32" ht="12.9" customHeight="1" x14ac:dyDescent="0.25">
      <c r="A2" s="34" t="s">
        <v>140</v>
      </c>
      <c r="D2" s="7"/>
      <c r="I2" s="388" t="s">
        <v>78</v>
      </c>
      <c r="J2" s="391"/>
      <c r="K2" s="32"/>
    </row>
    <row r="3" spans="1:32" ht="12.9" customHeight="1" x14ac:dyDescent="0.25">
      <c r="D3" s="7"/>
      <c r="I3" s="389" t="s">
        <v>29</v>
      </c>
      <c r="J3" s="392">
        <f>+summary!I3</f>
        <v>2.13</v>
      </c>
      <c r="K3" s="407">
        <f ca="1">NOW()</f>
        <v>37270.546647569441</v>
      </c>
    </row>
    <row r="4" spans="1:32" ht="12.9" customHeight="1" x14ac:dyDescent="0.25">
      <c r="A4" s="34" t="s">
        <v>145</v>
      </c>
      <c r="C4" s="34" t="s">
        <v>5</v>
      </c>
      <c r="D4" s="7"/>
      <c r="I4" s="390" t="s">
        <v>30</v>
      </c>
      <c r="J4" s="392">
        <f>+summary!I4</f>
        <v>2.16</v>
      </c>
      <c r="K4" s="32"/>
    </row>
    <row r="5" spans="1:32" ht="12.9" customHeight="1" x14ac:dyDescent="0.25">
      <c r="D5" s="7"/>
      <c r="I5" s="389" t="s">
        <v>117</v>
      </c>
      <c r="J5" s="392">
        <f>+summary!I5</f>
        <v>2.1800000000000002</v>
      </c>
      <c r="K5" s="32"/>
    </row>
    <row r="6" spans="1:32" ht="6.9" customHeight="1" x14ac:dyDescent="0.25"/>
    <row r="7" spans="1:32" ht="12.9" customHeight="1" x14ac:dyDescent="0.25">
      <c r="A7" s="405" t="s">
        <v>163</v>
      </c>
      <c r="B7" s="406"/>
      <c r="AD7" s="32"/>
      <c r="AE7" s="32"/>
      <c r="AF7" s="32"/>
    </row>
    <row r="8" spans="1:32" ht="15.9" customHeight="1" outlineLevel="2" x14ac:dyDescent="0.25">
      <c r="A8" s="32"/>
      <c r="B8" s="446" t="s">
        <v>193</v>
      </c>
      <c r="C8" s="403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71" t="s">
        <v>89</v>
      </c>
      <c r="B9" s="396" t="s">
        <v>194</v>
      </c>
      <c r="C9" s="404" t="s">
        <v>187</v>
      </c>
      <c r="D9" s="432" t="s">
        <v>191</v>
      </c>
      <c r="E9" s="39" t="s">
        <v>189</v>
      </c>
      <c r="F9" s="39" t="s">
        <v>146</v>
      </c>
      <c r="G9" s="395" t="s">
        <v>151</v>
      </c>
      <c r="H9" s="372" t="s">
        <v>101</v>
      </c>
      <c r="I9" s="371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71" t="s">
        <v>155</v>
      </c>
    </row>
    <row r="12" spans="1:32" ht="13.5" customHeight="1" outlineLevel="1" x14ac:dyDescent="0.25">
      <c r="A12" s="514" t="s">
        <v>127</v>
      </c>
      <c r="B12" s="351">
        <f>+Calpine!D41</f>
        <v>185104.89</v>
      </c>
      <c r="C12" s="374">
        <f>+B12/$J$4</f>
        <v>85696.708333333328</v>
      </c>
      <c r="D12" s="14">
        <f>+Calpine!D47</f>
        <v>175983</v>
      </c>
      <c r="E12" s="70">
        <f>+C12-D12</f>
        <v>-90286.291666666672</v>
      </c>
      <c r="F12" s="369">
        <f>+Calpine!A41</f>
        <v>37268</v>
      </c>
      <c r="G12" s="203" t="s">
        <v>153</v>
      </c>
      <c r="H12" s="204" t="s">
        <v>99</v>
      </c>
      <c r="I12" s="357"/>
      <c r="J12" s="70"/>
      <c r="K12" s="32"/>
    </row>
    <row r="13" spans="1:32" ht="13.5" customHeight="1" outlineLevel="2" x14ac:dyDescent="0.25">
      <c r="A13" s="248" t="s">
        <v>139</v>
      </c>
      <c r="B13" s="351">
        <f>+'Citizens-Griffith'!D41</f>
        <v>-6349.8000000000029</v>
      </c>
      <c r="C13" s="373">
        <f>+B13/$J$4</f>
        <v>-2939.7222222222235</v>
      </c>
      <c r="D13" s="14">
        <f>+'Citizens-Griffith'!D48</f>
        <v>1849</v>
      </c>
      <c r="E13" s="70">
        <f>+C13-D13</f>
        <v>-4788.7222222222235</v>
      </c>
      <c r="F13" s="369">
        <f>+'Citizens-Griffith'!A41</f>
        <v>37268</v>
      </c>
      <c r="G13" s="203" t="s">
        <v>328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298</v>
      </c>
      <c r="B14" s="486">
        <f>+SWGasTrans!D41</f>
        <v>-22201.89</v>
      </c>
      <c r="C14" s="373">
        <f>+B14/J4</f>
        <v>-10278.652777777777</v>
      </c>
      <c r="D14" s="14">
        <f>+SWGasTrans!$D$48</f>
        <v>2500</v>
      </c>
      <c r="E14" s="70">
        <f>+C14-D14</f>
        <v>-12778.652777777777</v>
      </c>
      <c r="F14" s="369">
        <f>+'Citizens-Griffith'!A42</f>
        <v>0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51">
        <f>+'NS Steel'!D41</f>
        <v>-329226.2</v>
      </c>
      <c r="C15" s="373">
        <f>+B15/$J$4</f>
        <v>-152419.53703703702</v>
      </c>
      <c r="D15" s="14">
        <f>+'NS Steel'!D50</f>
        <v>-32316</v>
      </c>
      <c r="E15" s="70">
        <f>+C15-D15</f>
        <v>-120103.53703703702</v>
      </c>
      <c r="F15" s="370">
        <f>+'NS Steel'!A41</f>
        <v>37268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5">
      <c r="A16" s="514" t="s">
        <v>135</v>
      </c>
      <c r="B16" s="354">
        <f>+Citizens!D18</f>
        <v>-552650.79</v>
      </c>
      <c r="C16" s="375">
        <f>+B16/$J$4</f>
        <v>-255856.84722222222</v>
      </c>
      <c r="D16" s="355">
        <f>+Citizens!D24</f>
        <v>-43748</v>
      </c>
      <c r="E16" s="72">
        <f>+C16-D16</f>
        <v>-212108.84722222222</v>
      </c>
      <c r="F16" s="369">
        <f>+Citizens!A18</f>
        <v>37268</v>
      </c>
      <c r="G16" s="203" t="s">
        <v>328</v>
      </c>
      <c r="H16" s="204" t="s">
        <v>99</v>
      </c>
      <c r="I16" s="424" t="s">
        <v>176</v>
      </c>
      <c r="J16" s="32"/>
      <c r="K16" s="32"/>
      <c r="T16" s="259"/>
    </row>
    <row r="17" spans="1:20" ht="15.9" customHeight="1" outlineLevel="2" x14ac:dyDescent="0.25">
      <c r="A17" s="153" t="s">
        <v>156</v>
      </c>
      <c r="B17" s="393">
        <f>SUBTOTAL(9,B12:B16)</f>
        <v>-725323.79</v>
      </c>
      <c r="C17" s="398">
        <f>SUBTOTAL(9,C12:C16)</f>
        <v>-335798.0509259259</v>
      </c>
      <c r="D17" s="399">
        <f>SUBTOTAL(9,D12:D16)</f>
        <v>104268</v>
      </c>
      <c r="E17" s="400">
        <f>SUBTOTAL(9,E12:E16)</f>
        <v>-440066.05092592596</v>
      </c>
      <c r="F17" s="369"/>
      <c r="G17" s="203"/>
      <c r="H17" s="204"/>
      <c r="I17" s="357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402" t="s">
        <v>57</v>
      </c>
      <c r="G19" s="7"/>
    </row>
    <row r="20" spans="1:20" ht="13.5" customHeight="1" outlineLevel="2" x14ac:dyDescent="0.25">
      <c r="A20" s="248" t="s">
        <v>71</v>
      </c>
      <c r="B20" s="487">
        <f>+transcol!$D$43</f>
        <v>29206.760000000002</v>
      </c>
      <c r="C20" s="373">
        <f>+B20/$J$4</f>
        <v>13521.648148148148</v>
      </c>
      <c r="D20" s="14">
        <f>+transcol!D50</f>
        <v>-42196</v>
      </c>
      <c r="E20" s="70">
        <f>+C20-D20</f>
        <v>55717.648148148146</v>
      </c>
      <c r="F20" s="370">
        <f>+transcol!A43</f>
        <v>37268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514" t="s">
        <v>316</v>
      </c>
      <c r="B21" s="487">
        <f>+C21*J3</f>
        <v>46178.399999999994</v>
      </c>
      <c r="C21" s="373">
        <f>+williams!J40</f>
        <v>21680</v>
      </c>
      <c r="D21" s="14">
        <f>+C21</f>
        <v>21680</v>
      </c>
      <c r="E21" s="70">
        <f>+C21-D21</f>
        <v>0</v>
      </c>
      <c r="F21" s="370">
        <f>+williams!A40</f>
        <v>37268</v>
      </c>
      <c r="G21" s="203" t="s">
        <v>154</v>
      </c>
      <c r="H21" s="32" t="s">
        <v>317</v>
      </c>
      <c r="I21" s="32"/>
      <c r="J21" s="32"/>
      <c r="K21" s="32"/>
      <c r="T21" s="259"/>
    </row>
    <row r="22" spans="1:20" ht="13.5" customHeight="1" outlineLevel="2" x14ac:dyDescent="0.25">
      <c r="A22" s="514" t="s">
        <v>95</v>
      </c>
      <c r="B22" s="505">
        <f>+burlington!D42</f>
        <v>-4083.1199999999953</v>
      </c>
      <c r="C22" s="377">
        <f>+B22/$J$3</f>
        <v>-1916.9577464788711</v>
      </c>
      <c r="D22" s="355">
        <f>+burlington!D49</f>
        <v>-3851</v>
      </c>
      <c r="E22" s="72">
        <f>+C22-D22</f>
        <v>1934.0422535211289</v>
      </c>
      <c r="F22" s="369">
        <f>+burlington!A42</f>
        <v>37268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" customHeight="1" outlineLevel="2" x14ac:dyDescent="0.25">
      <c r="A23" s="153" t="s">
        <v>158</v>
      </c>
      <c r="B23" s="393">
        <f>SUBTOTAL(9,B20:B22)</f>
        <v>71302.040000000008</v>
      </c>
      <c r="C23" s="394">
        <f>SUBTOTAL(9,C20:C22)</f>
        <v>33284.690401669272</v>
      </c>
      <c r="D23" s="399">
        <f>SUBTOTAL(9,D20:D22)</f>
        <v>-24367</v>
      </c>
      <c r="E23" s="400">
        <f>SUBTOTAL(9,E20:E22)</f>
        <v>57651.690401669272</v>
      </c>
      <c r="F23" s="369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71" t="s">
        <v>159</v>
      </c>
      <c r="B25" s="428"/>
      <c r="C25" s="429"/>
      <c r="D25" s="430"/>
      <c r="E25" s="430"/>
      <c r="F25" s="430"/>
      <c r="G25" s="431"/>
      <c r="H25" s="430"/>
      <c r="I25" s="430"/>
    </row>
    <row r="26" spans="1:20" ht="15.9" customHeight="1" outlineLevel="2" x14ac:dyDescent="0.25">
      <c r="A26" s="514" t="s">
        <v>87</v>
      </c>
      <c r="B26" s="486">
        <f>+NNG!$D$24</f>
        <v>-23479.020000000004</v>
      </c>
      <c r="C26" s="373">
        <f>+B26/$J$4</f>
        <v>-10869.916666666668</v>
      </c>
      <c r="D26" s="14">
        <f>+NNG!D34</f>
        <v>-11707</v>
      </c>
      <c r="E26" s="70">
        <f t="shared" ref="E26:E49" si="0">+C26-D26</f>
        <v>837.08333333333212</v>
      </c>
      <c r="F26" s="369">
        <f>+NNG!A24</f>
        <v>37268</v>
      </c>
      <c r="G26" s="204" t="s">
        <v>327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486">
        <f>+Conoco!$F$41</f>
        <v>469747.09</v>
      </c>
      <c r="C27" s="373">
        <f>+B27/$J$4</f>
        <v>217475.50462962964</v>
      </c>
      <c r="D27" s="14">
        <f>+Conoco!D48</f>
        <v>22282</v>
      </c>
      <c r="E27" s="70">
        <f t="shared" si="0"/>
        <v>195193.50462962964</v>
      </c>
      <c r="F27" s="369">
        <f>+Conoco!A41</f>
        <v>37268</v>
      </c>
      <c r="G27" s="32" t="s">
        <v>328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5">
      <c r="A28" s="248" t="s">
        <v>3</v>
      </c>
      <c r="B28" s="351">
        <f>+'Amoco Abo'!$F$43</f>
        <v>171983.99</v>
      </c>
      <c r="C28" s="373">
        <f>+B28/$J$4</f>
        <v>79622.217592592584</v>
      </c>
      <c r="D28" s="14">
        <f>+'Amoco Abo'!D49</f>
        <v>-358718</v>
      </c>
      <c r="E28" s="70">
        <f t="shared" si="0"/>
        <v>438340.21759259258</v>
      </c>
      <c r="F28" s="370">
        <f>+'Amoco Abo'!A43</f>
        <v>37268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5">
      <c r="A29" s="248" t="s">
        <v>107</v>
      </c>
      <c r="B29" s="486">
        <f>+KN_Westar!F41</f>
        <v>262036.83000000002</v>
      </c>
      <c r="C29" s="373">
        <f>+B29/$J$4</f>
        <v>121313.34722222222</v>
      </c>
      <c r="D29" s="14">
        <f>+KN_Westar!D48</f>
        <v>-67067</v>
      </c>
      <c r="E29" s="70">
        <f t="shared" si="0"/>
        <v>188380.34722222222</v>
      </c>
      <c r="F29" s="370">
        <f>+KN_Westar!A41</f>
        <v>37268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514" t="s">
        <v>257</v>
      </c>
      <c r="B30" s="486">
        <f>+summary!B9</f>
        <v>1220293.8600000001</v>
      </c>
      <c r="C30" s="374">
        <f>+B30/$J$5</f>
        <v>559767.82568807341</v>
      </c>
      <c r="D30" s="14">
        <f>+Duke!$G$40+Duke!$H$40+Duke!$I$53+Duke!$I$54</f>
        <v>362710</v>
      </c>
      <c r="E30" s="70">
        <f t="shared" si="0"/>
        <v>197057.82568807341</v>
      </c>
      <c r="F30" s="370">
        <f>+Duke!A42</f>
        <v>37268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5">
      <c r="A31" s="514" t="s">
        <v>250</v>
      </c>
      <c r="B31" s="486">
        <f>+summary!B8</f>
        <v>1586931.5</v>
      </c>
      <c r="C31" s="374">
        <f>+B31/$J$5</f>
        <v>727950.22935779812</v>
      </c>
      <c r="D31" s="14">
        <f>+Duke!$F$40</f>
        <v>404095</v>
      </c>
      <c r="E31" s="70">
        <f t="shared" si="0"/>
        <v>323855.22935779812</v>
      </c>
      <c r="F31" s="370">
        <f>+Duke!A7</f>
        <v>37268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5">
      <c r="A32" s="514" t="s">
        <v>249</v>
      </c>
      <c r="B32" s="486">
        <f>+summary!B38</f>
        <v>-2784383.2</v>
      </c>
      <c r="C32" s="374">
        <f>+B32/$J$5</f>
        <v>-1277240</v>
      </c>
      <c r="D32" s="14">
        <f>+DEFS!$I$36+DEFS!$J$36+DEFS!$K$45+DEFS!$K$46+DEFS!$K$47+DEFS!$K$48</f>
        <v>-428055</v>
      </c>
      <c r="E32" s="70">
        <f t="shared" si="0"/>
        <v>-849185</v>
      </c>
      <c r="F32" s="370">
        <f>+DEFS!A40</f>
        <v>37268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5">
      <c r="A33" s="248" t="s">
        <v>2</v>
      </c>
      <c r="B33" s="486">
        <f>+mewborne!$J$43</f>
        <v>408874.16</v>
      </c>
      <c r="C33" s="373">
        <f>+B33/$J$4</f>
        <v>189293.59259259255</v>
      </c>
      <c r="D33" s="14">
        <f>+mewborne!D49</f>
        <v>167882</v>
      </c>
      <c r="E33" s="70">
        <f t="shared" si="0"/>
        <v>21411.592592592555</v>
      </c>
      <c r="F33" s="370">
        <f>+mewborne!A43</f>
        <v>37268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5">
      <c r="A34" s="248" t="s">
        <v>147</v>
      </c>
      <c r="B34" s="486">
        <f>+PGETX!$H$37</f>
        <v>-56665.279999999999</v>
      </c>
      <c r="C34" s="373">
        <f>+B34/$J$4</f>
        <v>-26233.925925925923</v>
      </c>
      <c r="D34" s="14">
        <f>+PGETX!E46</f>
        <v>283</v>
      </c>
      <c r="E34" s="70">
        <f t="shared" si="0"/>
        <v>-26516.925925925923</v>
      </c>
      <c r="F34" s="370">
        <f>+PGETX!E37</f>
        <v>37268</v>
      </c>
      <c r="G34" s="32" t="s">
        <v>329</v>
      </c>
      <c r="H34" s="32" t="s">
        <v>102</v>
      </c>
      <c r="I34" s="32" t="s">
        <v>175</v>
      </c>
      <c r="J34" s="32"/>
      <c r="K34" s="32"/>
    </row>
    <row r="35" spans="1:11" ht="14.1" customHeight="1" x14ac:dyDescent="0.25">
      <c r="A35" s="248" t="s">
        <v>82</v>
      </c>
      <c r="B35" s="351">
        <f>+PNM!$D$23</f>
        <v>815246.48</v>
      </c>
      <c r="C35" s="373">
        <f>+B35/$J$4</f>
        <v>377428.9259259259</v>
      </c>
      <c r="D35" s="14">
        <f>+PNM!D30</f>
        <v>329698</v>
      </c>
      <c r="E35" s="70">
        <f t="shared" si="0"/>
        <v>47730.925925925898</v>
      </c>
      <c r="F35" s="370">
        <f>+PNM!A23</f>
        <v>37268</v>
      </c>
      <c r="G35" s="32" t="s">
        <v>327</v>
      </c>
      <c r="H35" s="32" t="s">
        <v>115</v>
      </c>
      <c r="I35" s="32"/>
      <c r="J35" s="32"/>
      <c r="K35" s="32"/>
    </row>
    <row r="36" spans="1:11" ht="14.1" customHeight="1" x14ac:dyDescent="0.25">
      <c r="A36" s="32" t="s">
        <v>103</v>
      </c>
      <c r="B36" s="486">
        <f>+EOG!J41</f>
        <v>60225.33</v>
      </c>
      <c r="C36" s="373">
        <f>+B36/$J$4</f>
        <v>27882.097222222223</v>
      </c>
      <c r="D36" s="14">
        <f>+EOG!D48</f>
        <v>-99756</v>
      </c>
      <c r="E36" s="70">
        <f t="shared" si="0"/>
        <v>127638.09722222222</v>
      </c>
      <c r="F36" s="369">
        <f>+EOG!A41</f>
        <v>37268</v>
      </c>
      <c r="G36" s="32" t="s">
        <v>327</v>
      </c>
      <c r="H36" s="32" t="s">
        <v>102</v>
      </c>
      <c r="I36" s="32"/>
      <c r="J36" s="32"/>
      <c r="K36" s="32"/>
    </row>
    <row r="37" spans="1:11" ht="14.1" customHeight="1" x14ac:dyDescent="0.25">
      <c r="A37" s="248" t="s">
        <v>6</v>
      </c>
      <c r="B37" s="351">
        <f>+Oasis!D40</f>
        <v>-31307.750000000004</v>
      </c>
      <c r="C37" s="373">
        <f>+B37/J5</f>
        <v>-14361.353211009175</v>
      </c>
      <c r="D37" s="14">
        <f>+Oasis!D47</f>
        <v>-17192</v>
      </c>
      <c r="E37" s="70">
        <f>+C37-D37</f>
        <v>2830.6467889908254</v>
      </c>
      <c r="F37" s="369">
        <f>+Oasis!A40</f>
        <v>37268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5">
      <c r="A38" s="248" t="s">
        <v>131</v>
      </c>
      <c r="B38" s="486">
        <f>+SidR!D41</f>
        <v>13858.330000000002</v>
      </c>
      <c r="C38" s="373">
        <f>+B38/$J$5</f>
        <v>6357.0321100917436</v>
      </c>
      <c r="D38" s="14">
        <f>+SidR!D48</f>
        <v>6927</v>
      </c>
      <c r="E38" s="70">
        <f t="shared" si="0"/>
        <v>-569.96788990825644</v>
      </c>
      <c r="F38" s="370">
        <f>+SidR!A41</f>
        <v>37268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5">
      <c r="A39" s="514" t="s">
        <v>261</v>
      </c>
      <c r="B39" s="351">
        <f>+summary!$B$41</f>
        <v>-203736.06</v>
      </c>
      <c r="C39" s="373">
        <f>+summary!$C$41</f>
        <v>-93456.908256880721</v>
      </c>
      <c r="D39" s="14">
        <f>+MiVida_Rich!D48</f>
        <v>-51454</v>
      </c>
      <c r="E39" s="70">
        <f>+C39-D39</f>
        <v>-42002.908256880721</v>
      </c>
      <c r="F39" s="370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5">
      <c r="A40" s="248" t="s">
        <v>207</v>
      </c>
      <c r="B40" s="351">
        <f>+Dominion!D41</f>
        <v>178113.14</v>
      </c>
      <c r="C40" s="373">
        <f>+B40/$J$5</f>
        <v>81703.275229357794</v>
      </c>
      <c r="D40" s="14">
        <f>+Dominion!D48</f>
        <v>78125</v>
      </c>
      <c r="E40" s="70">
        <f t="shared" si="0"/>
        <v>3578.2752293577942</v>
      </c>
      <c r="F40" s="370">
        <f>+Dominion!A41</f>
        <v>37268</v>
      </c>
      <c r="G40" s="203"/>
      <c r="H40" s="32" t="s">
        <v>99</v>
      </c>
      <c r="I40" s="32"/>
      <c r="J40" s="32"/>
      <c r="K40" s="32"/>
    </row>
    <row r="41" spans="1:11" ht="14.1" customHeight="1" x14ac:dyDescent="0.25">
      <c r="A41" s="248" t="s">
        <v>204</v>
      </c>
      <c r="B41" s="351">
        <f>+WTGmktg!J43</f>
        <v>-31825.13</v>
      </c>
      <c r="C41" s="373">
        <f>+B41/$J$4</f>
        <v>-14733.856481481482</v>
      </c>
      <c r="D41" s="14">
        <f>+WTGmktg!D50</f>
        <v>-1714</v>
      </c>
      <c r="E41" s="70">
        <f t="shared" si="0"/>
        <v>-13019.856481481482</v>
      </c>
      <c r="F41" s="370">
        <f>+WTGmktg!A43</f>
        <v>37268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5">
      <c r="A42" s="248" t="s">
        <v>303</v>
      </c>
      <c r="B42" s="351">
        <f>+'WTG inc'!N43</f>
        <v>36963.21</v>
      </c>
      <c r="C42" s="373">
        <f>+B42/J4</f>
        <v>17112.597222222219</v>
      </c>
      <c r="D42" s="14">
        <f>+'WTG inc'!D50</f>
        <v>14123</v>
      </c>
      <c r="E42" s="70">
        <f>+C42-D42</f>
        <v>2989.597222222219</v>
      </c>
      <c r="F42" s="370">
        <f>+'WTG inc'!A43</f>
        <v>37268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5">
      <c r="A43" s="248" t="s">
        <v>208</v>
      </c>
      <c r="B43" s="351">
        <f>+Devon!D41</f>
        <v>162683.32999999999</v>
      </c>
      <c r="C43" s="373">
        <f>+B43/$J$5</f>
        <v>74625.380733944941</v>
      </c>
      <c r="D43" s="14">
        <f>+Devon!D48</f>
        <v>34609</v>
      </c>
      <c r="E43" s="70">
        <f t="shared" si="0"/>
        <v>40016.380733944941</v>
      </c>
      <c r="F43" s="370">
        <f>+Devon!A41</f>
        <v>37268</v>
      </c>
      <c r="G43" s="203" t="s">
        <v>328</v>
      </c>
      <c r="H43" s="32" t="s">
        <v>99</v>
      </c>
      <c r="I43" s="32"/>
      <c r="J43" s="32"/>
      <c r="K43" s="32"/>
    </row>
    <row r="44" spans="1:11" ht="13.5" customHeight="1" x14ac:dyDescent="0.25">
      <c r="A44" s="248" t="s">
        <v>217</v>
      </c>
      <c r="B44" s="351">
        <f>+crosstex!F41</f>
        <v>-120763.56</v>
      </c>
      <c r="C44" s="373">
        <f>+B44/$J$4</f>
        <v>-55909.055555555547</v>
      </c>
      <c r="D44" s="14">
        <f>+crosstex!D48</f>
        <v>-37564</v>
      </c>
      <c r="E44" s="70">
        <f t="shared" si="0"/>
        <v>-18345.055555555547</v>
      </c>
      <c r="F44" s="370">
        <f>+crosstex!A41</f>
        <v>37268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5">
      <c r="A45" s="248" t="s">
        <v>218</v>
      </c>
      <c r="B45" s="351">
        <f>+Amarillo!P41</f>
        <v>93317.64</v>
      </c>
      <c r="C45" s="373">
        <f>+B45/$J$4</f>
        <v>43202.611111111109</v>
      </c>
      <c r="D45" s="14">
        <f>+Amarillo!D48</f>
        <v>38759</v>
      </c>
      <c r="E45" s="70">
        <f t="shared" si="0"/>
        <v>4443.6111111111095</v>
      </c>
      <c r="F45" s="370">
        <f>+Amarillo!A41</f>
        <v>37268</v>
      </c>
      <c r="G45" s="203" t="s">
        <v>328</v>
      </c>
      <c r="H45" s="32" t="s">
        <v>113</v>
      </c>
      <c r="I45" s="32"/>
      <c r="J45" s="32"/>
      <c r="K45" s="32"/>
    </row>
    <row r="46" spans="1:11" ht="13.5" customHeight="1" x14ac:dyDescent="0.25">
      <c r="A46" s="248" t="s">
        <v>322</v>
      </c>
      <c r="B46" s="351">
        <f>+Stratland!$D$41</f>
        <v>42574.03</v>
      </c>
      <c r="C46" s="374">
        <f>+B46/$J$4</f>
        <v>19710.199074074073</v>
      </c>
      <c r="D46" s="14">
        <f>+Stratland!D48</f>
        <v>14572</v>
      </c>
      <c r="E46" s="70">
        <f>+C46-D46</f>
        <v>5138.199074074073</v>
      </c>
      <c r="F46" s="369">
        <f>+Stratland!A41</f>
        <v>37257</v>
      </c>
      <c r="G46" s="203"/>
      <c r="H46" s="32" t="s">
        <v>102</v>
      </c>
      <c r="I46" s="32"/>
      <c r="J46" s="32"/>
      <c r="K46" s="32"/>
    </row>
    <row r="47" spans="1:11" ht="13.5" customHeight="1" x14ac:dyDescent="0.25">
      <c r="A47" s="248" t="s">
        <v>109</v>
      </c>
      <c r="B47" s="351">
        <f>+Continental!F43</f>
        <v>34694</v>
      </c>
      <c r="C47" s="374">
        <f>+B47/$J$4</f>
        <v>16062.037037037036</v>
      </c>
      <c r="D47" s="14">
        <f>+Continental!D50</f>
        <v>948</v>
      </c>
      <c r="E47" s="70">
        <f t="shared" si="0"/>
        <v>15114.037037037036</v>
      </c>
      <c r="F47" s="370">
        <f>+Continental!A43</f>
        <v>37268</v>
      </c>
      <c r="G47" s="203" t="s">
        <v>154</v>
      </c>
      <c r="H47" s="32" t="s">
        <v>115</v>
      </c>
      <c r="I47" s="32"/>
      <c r="J47" s="32"/>
      <c r="K47" s="32"/>
    </row>
    <row r="48" spans="1:11" ht="13.5" customHeight="1" x14ac:dyDescent="0.25">
      <c r="A48" s="248" t="s">
        <v>129</v>
      </c>
      <c r="B48" s="351">
        <f>+EPFS!D41</f>
        <v>93255.409999999989</v>
      </c>
      <c r="C48" s="374">
        <f>+B48/$J$5</f>
        <v>42777.711009174302</v>
      </c>
      <c r="D48" s="14">
        <f>+EPFS!D47</f>
        <v>58367</v>
      </c>
      <c r="E48" s="70">
        <f t="shared" si="0"/>
        <v>-15589.288990825698</v>
      </c>
      <c r="F48" s="369">
        <f>+EPFS!A41</f>
        <v>37268</v>
      </c>
      <c r="G48" s="203" t="s">
        <v>154</v>
      </c>
      <c r="H48" s="32" t="s">
        <v>102</v>
      </c>
      <c r="I48" s="32"/>
      <c r="J48" s="32"/>
      <c r="K48" s="32"/>
    </row>
    <row r="49" spans="1:19" ht="12.9" customHeight="1" x14ac:dyDescent="0.25">
      <c r="A49" s="514" t="s">
        <v>79</v>
      </c>
      <c r="B49" s="505">
        <f>+Agave!$D$24</f>
        <v>-122461.28</v>
      </c>
      <c r="C49" s="375">
        <f>+B49/$J$4</f>
        <v>-56695.037037037029</v>
      </c>
      <c r="D49" s="355">
        <f>+Agave!D31</f>
        <v>-43097</v>
      </c>
      <c r="E49" s="72">
        <f t="shared" si="0"/>
        <v>-13598.037037037029</v>
      </c>
      <c r="F49" s="369">
        <f>+Agave!A24</f>
        <v>37268</v>
      </c>
      <c r="G49" s="203" t="s">
        <v>328</v>
      </c>
      <c r="H49" s="204" t="s">
        <v>102</v>
      </c>
      <c r="I49" s="32"/>
      <c r="J49" s="32"/>
      <c r="K49" s="32"/>
    </row>
    <row r="50" spans="1:19" ht="17.100000000000001" customHeight="1" x14ac:dyDescent="0.25">
      <c r="A50" s="153" t="s">
        <v>161</v>
      </c>
      <c r="B50" s="393">
        <f>SUBTOTAL(9,B26:B49)</f>
        <v>2276177.0500000003</v>
      </c>
      <c r="C50" s="398">
        <f>SUBTOTAL(9,C26:C49)</f>
        <v>1052784.5306235135</v>
      </c>
      <c r="D50" s="399">
        <f>SUBTOTAL(9,D26:D49)</f>
        <v>417056</v>
      </c>
      <c r="E50" s="400">
        <f>SUBTOTAL(9,E26:E49)</f>
        <v>635728.53062351351</v>
      </c>
      <c r="F50" s="369"/>
      <c r="G50" s="358"/>
      <c r="H50" s="32"/>
      <c r="I50" s="204"/>
      <c r="J50" s="32"/>
      <c r="K50" s="32"/>
      <c r="L50" s="32"/>
    </row>
    <row r="51" spans="1:19" ht="12" customHeight="1" x14ac:dyDescent="0.25">
      <c r="A51" s="204"/>
      <c r="H51" s="32"/>
      <c r="I51" s="204"/>
      <c r="J51" s="32"/>
      <c r="K51" s="32"/>
      <c r="L51" s="32"/>
    </row>
    <row r="52" spans="1:19" ht="17.100000000000001" customHeight="1" x14ac:dyDescent="0.25">
      <c r="A52" s="153" t="s">
        <v>162</v>
      </c>
      <c r="B52" s="393">
        <f>SUBTOTAL(9,B12:B49)</f>
        <v>1622155.2999999998</v>
      </c>
      <c r="C52" s="398">
        <f>SUBTOTAL(9,C12:C49)</f>
        <v>750271.17009925703</v>
      </c>
      <c r="D52" s="399">
        <f>SUBTOTAL(9,D12:D49)</f>
        <v>496957</v>
      </c>
      <c r="E52" s="400">
        <f>SUBTOTAL(9,E12:E49)</f>
        <v>253314.17009925662</v>
      </c>
      <c r="F52" s="369"/>
      <c r="G52" s="204"/>
      <c r="H52" s="32"/>
      <c r="I52" s="204"/>
      <c r="J52" s="32"/>
      <c r="K52" s="32"/>
      <c r="L52" s="32"/>
    </row>
    <row r="53" spans="1:19" ht="12.9" customHeight="1" x14ac:dyDescent="0.25">
      <c r="A53" s="204"/>
      <c r="B53" s="351"/>
      <c r="C53" s="373"/>
      <c r="D53" s="373"/>
      <c r="E53" s="373"/>
      <c r="F53" s="358"/>
      <c r="G53" s="32"/>
      <c r="I53" s="32"/>
      <c r="J53" s="32"/>
      <c r="K53" s="32"/>
      <c r="L53" s="32"/>
    </row>
    <row r="54" spans="1:19" ht="14.1" customHeight="1" x14ac:dyDescent="0.25"/>
    <row r="55" spans="1:19" ht="12.9" customHeight="1" x14ac:dyDescent="0.25"/>
    <row r="56" spans="1:19" ht="13.5" customHeight="1" x14ac:dyDescent="0.25"/>
    <row r="57" spans="1:19" ht="13.5" customHeight="1" outlineLevel="2" x14ac:dyDescent="0.25">
      <c r="A57" s="34" t="s">
        <v>140</v>
      </c>
      <c r="D57" s="7"/>
      <c r="I57" s="388" t="s">
        <v>78</v>
      </c>
      <c r="J57" s="391"/>
      <c r="K57" s="32"/>
    </row>
    <row r="58" spans="1:19" ht="13.5" customHeight="1" outlineLevel="2" x14ac:dyDescent="0.25">
      <c r="D58" s="7"/>
      <c r="I58" s="389" t="s">
        <v>29</v>
      </c>
      <c r="J58" s="392">
        <f>+J3</f>
        <v>2.13</v>
      </c>
      <c r="K58" s="407">
        <f ca="1">NOW()</f>
        <v>37270.546647569441</v>
      </c>
    </row>
    <row r="59" spans="1:19" ht="13.5" customHeight="1" outlineLevel="2" x14ac:dyDescent="0.25">
      <c r="A59" s="34" t="s">
        <v>145</v>
      </c>
      <c r="C59" s="34" t="s">
        <v>5</v>
      </c>
      <c r="D59" s="7"/>
      <c r="I59" s="390" t="s">
        <v>30</v>
      </c>
      <c r="J59" s="392">
        <f>+J4</f>
        <v>2.16</v>
      </c>
      <c r="K59" s="32"/>
    </row>
    <row r="60" spans="1:19" ht="13.5" customHeight="1" outlineLevel="1" x14ac:dyDescent="0.25">
      <c r="D60" s="7"/>
      <c r="I60" s="389" t="s">
        <v>117</v>
      </c>
      <c r="J60" s="392">
        <f>+J5</f>
        <v>2.1800000000000002</v>
      </c>
      <c r="K60" s="32"/>
    </row>
    <row r="61" spans="1:19" ht="13.5" customHeight="1" outlineLevel="2" x14ac:dyDescent="0.25"/>
    <row r="62" spans="1:19" ht="13.5" customHeight="1" outlineLevel="2" x14ac:dyDescent="0.25">
      <c r="A62" s="405" t="s">
        <v>164</v>
      </c>
      <c r="B62" s="406"/>
      <c r="E62" s="12" t="s">
        <v>197</v>
      </c>
    </row>
    <row r="63" spans="1:19" ht="13.5" customHeight="1" outlineLevel="2" x14ac:dyDescent="0.25">
      <c r="A63" s="32"/>
      <c r="B63" s="408" t="s">
        <v>188</v>
      </c>
      <c r="C63" s="408" t="s">
        <v>195</v>
      </c>
      <c r="D63" s="408" t="s">
        <v>192</v>
      </c>
      <c r="E63" s="12" t="s">
        <v>198</v>
      </c>
      <c r="F63" s="2" t="s">
        <v>148</v>
      </c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</row>
    <row r="64" spans="1:19" ht="13.5" customHeight="1" outlineLevel="2" x14ac:dyDescent="0.25">
      <c r="A64" s="371" t="s">
        <v>89</v>
      </c>
      <c r="B64" s="404" t="s">
        <v>0</v>
      </c>
      <c r="C64" s="383" t="s">
        <v>166</v>
      </c>
      <c r="D64" s="39" t="s">
        <v>196</v>
      </c>
      <c r="E64" s="39" t="s">
        <v>199</v>
      </c>
      <c r="F64" s="39" t="s">
        <v>146</v>
      </c>
      <c r="G64" s="395" t="s">
        <v>151</v>
      </c>
      <c r="H64" s="372" t="s">
        <v>101</v>
      </c>
      <c r="I64" s="371" t="s">
        <v>98</v>
      </c>
      <c r="J64" s="32"/>
      <c r="K64" s="32"/>
      <c r="L64" s="32"/>
      <c r="N64" s="32"/>
      <c r="O64" s="32"/>
      <c r="P64" s="32"/>
      <c r="Q64" s="32"/>
      <c r="R64" s="32"/>
      <c r="S64" s="32"/>
    </row>
    <row r="65" spans="1:11" ht="13.5" customHeight="1" outlineLevel="2" x14ac:dyDescent="0.25">
      <c r="B65" s="286"/>
      <c r="C65" s="247"/>
    </row>
    <row r="66" spans="1:11" ht="13.5" customHeight="1" outlineLevel="1" x14ac:dyDescent="0.25">
      <c r="A66" s="371" t="s">
        <v>155</v>
      </c>
      <c r="B66" s="286"/>
      <c r="C66" s="247"/>
      <c r="G66" s="203"/>
    </row>
    <row r="67" spans="1:11" ht="13.5" customHeight="1" outlineLevel="2" x14ac:dyDescent="0.25">
      <c r="A67" s="248" t="s">
        <v>94</v>
      </c>
      <c r="B67" s="517">
        <f>+Mojave!D40</f>
        <v>194839</v>
      </c>
      <c r="C67" s="351">
        <f>+B67*$J$4</f>
        <v>420852.24000000005</v>
      </c>
      <c r="D67" s="47">
        <f>+Mojave!D47</f>
        <v>217127.56</v>
      </c>
      <c r="E67" s="47">
        <f>+C67-D67</f>
        <v>203724.68000000005</v>
      </c>
      <c r="F67" s="370">
        <f>+Mojave!A40</f>
        <v>37268</v>
      </c>
      <c r="G67" s="203" t="s">
        <v>154</v>
      </c>
      <c r="H67" s="32" t="s">
        <v>100</v>
      </c>
      <c r="I67" s="32" t="s">
        <v>169</v>
      </c>
      <c r="J67" s="32"/>
      <c r="K67" s="32"/>
    </row>
    <row r="68" spans="1:11" ht="15" customHeight="1" outlineLevel="2" x14ac:dyDescent="0.25">
      <c r="A68" s="248" t="s">
        <v>32</v>
      </c>
      <c r="B68" s="374">
        <f>+SoCal!F40</f>
        <v>84845</v>
      </c>
      <c r="C68" s="351">
        <f>+B68*$J$4</f>
        <v>183265.2</v>
      </c>
      <c r="D68" s="47">
        <f>+SoCal!D47</f>
        <v>289635</v>
      </c>
      <c r="E68" s="47">
        <f>+C68-D68</f>
        <v>-106369.79999999999</v>
      </c>
      <c r="F68" s="370">
        <f>+SoCal!A40</f>
        <v>37268</v>
      </c>
      <c r="G68" s="203" t="s">
        <v>153</v>
      </c>
      <c r="H68" s="32" t="s">
        <v>102</v>
      </c>
      <c r="I68" s="32"/>
      <c r="J68" s="32"/>
      <c r="K68" s="32"/>
    </row>
    <row r="69" spans="1:11" ht="15" customHeight="1" outlineLevel="2" x14ac:dyDescent="0.25">
      <c r="A69" s="248" t="s">
        <v>178</v>
      </c>
      <c r="B69" s="373">
        <f>+'El Paso'!C39</f>
        <v>64269</v>
      </c>
      <c r="C69" s="351">
        <f>+B69*$J$4</f>
        <v>138821.04</v>
      </c>
      <c r="D69" s="47">
        <f>+'El Paso'!C46</f>
        <v>-1582961.01</v>
      </c>
      <c r="E69" s="47">
        <f>+C69-D69</f>
        <v>1721782.05</v>
      </c>
      <c r="F69" s="370">
        <f>+'El Paso'!A39</f>
        <v>37268</v>
      </c>
      <c r="G69" s="425" t="s">
        <v>154</v>
      </c>
      <c r="H69" s="32" t="s">
        <v>100</v>
      </c>
      <c r="I69" s="32" t="s">
        <v>170</v>
      </c>
      <c r="J69" s="32"/>
      <c r="K69" s="32"/>
    </row>
    <row r="70" spans="1:11" ht="15" customHeight="1" outlineLevel="1" x14ac:dyDescent="0.25">
      <c r="A70" s="248" t="s">
        <v>114</v>
      </c>
      <c r="B70" s="375">
        <f>+'PG&amp;E'!D40</f>
        <v>12657</v>
      </c>
      <c r="C70" s="354">
        <f>+B70*$J$4</f>
        <v>27339.120000000003</v>
      </c>
      <c r="D70" s="354">
        <f>+'PG&amp;E'!D47</f>
        <v>-180797.39</v>
      </c>
      <c r="E70" s="354">
        <f>+C70-D70</f>
        <v>208136.51</v>
      </c>
      <c r="F70" s="370">
        <f>+'PG&amp;E'!A40</f>
        <v>37268</v>
      </c>
      <c r="G70" s="203" t="s">
        <v>154</v>
      </c>
      <c r="H70" s="32" t="s">
        <v>102</v>
      </c>
      <c r="I70" s="32"/>
      <c r="J70" s="32"/>
      <c r="K70" s="32"/>
    </row>
    <row r="71" spans="1:11" ht="15" customHeight="1" x14ac:dyDescent="0.25">
      <c r="A71" s="2" t="s">
        <v>156</v>
      </c>
      <c r="B71" s="398">
        <f>SUBTOTAL(9,B67:B70)</f>
        <v>356610</v>
      </c>
      <c r="C71" s="393">
        <f>SUBTOTAL(9,C67:C70)</f>
        <v>770277.60000000009</v>
      </c>
      <c r="D71" s="393">
        <f>SUBTOTAL(9,D67:D70)</f>
        <v>-1256995.8399999999</v>
      </c>
      <c r="E71" s="393">
        <f>SUBTOTAL(9,E67:E70)</f>
        <v>2027273.4400000002</v>
      </c>
      <c r="F71" s="370"/>
      <c r="G71" s="203"/>
      <c r="H71" s="32"/>
      <c r="I71" s="32"/>
      <c r="J71" s="32"/>
      <c r="K71" s="32"/>
    </row>
    <row r="72" spans="1:11" ht="12.9" customHeight="1" x14ac:dyDescent="0.25">
      <c r="B72" s="286"/>
      <c r="C72" s="247"/>
      <c r="G72" s="203"/>
    </row>
    <row r="73" spans="1:11" ht="15" customHeight="1" x14ac:dyDescent="0.25">
      <c r="A73" s="371" t="s">
        <v>57</v>
      </c>
      <c r="B73" s="286"/>
      <c r="C73" s="247"/>
      <c r="G73" s="203"/>
    </row>
    <row r="74" spans="1:11" x14ac:dyDescent="0.25">
      <c r="A74" s="248" t="s">
        <v>23</v>
      </c>
      <c r="B74" s="373">
        <f>+'Red C'!F45</f>
        <v>21075</v>
      </c>
      <c r="C74" s="352">
        <f>+B74*J58</f>
        <v>44889.75</v>
      </c>
      <c r="D74" s="200">
        <f>+'Red C'!D52</f>
        <v>415083.77</v>
      </c>
      <c r="E74" s="47">
        <f>+C74-D74</f>
        <v>-370194.02</v>
      </c>
      <c r="F74" s="369">
        <f>+'Red C'!A45</f>
        <v>37268</v>
      </c>
      <c r="G74" s="203" t="s">
        <v>153</v>
      </c>
      <c r="H74" s="32" t="s">
        <v>115</v>
      </c>
      <c r="I74" s="32"/>
      <c r="J74" s="32"/>
      <c r="K74" s="32"/>
    </row>
    <row r="75" spans="1:11" x14ac:dyDescent="0.25">
      <c r="A75" s="248" t="s">
        <v>315</v>
      </c>
      <c r="B75" s="373">
        <f>+Amoco!D40</f>
        <v>3885</v>
      </c>
      <c r="C75" s="351">
        <f>+B75*$J$3</f>
        <v>8275.0499999999993</v>
      </c>
      <c r="D75" s="47">
        <f>+Amoco!D47</f>
        <v>345204.35</v>
      </c>
      <c r="E75" s="47">
        <f>+C75-D75</f>
        <v>-336929.3</v>
      </c>
      <c r="F75" s="370">
        <f>+Amoco!A40</f>
        <v>37268</v>
      </c>
      <c r="G75" s="203" t="s">
        <v>153</v>
      </c>
      <c r="H75" s="32" t="s">
        <v>115</v>
      </c>
      <c r="I75" s="32"/>
      <c r="J75" s="32"/>
      <c r="K75" s="32"/>
    </row>
    <row r="76" spans="1:11" x14ac:dyDescent="0.25">
      <c r="A76" s="248" t="s">
        <v>179</v>
      </c>
      <c r="B76" s="373">
        <f>+'El Paso'!E39</f>
        <v>-68481</v>
      </c>
      <c r="C76" s="351">
        <f>+B76*$J$3</f>
        <v>-145864.53</v>
      </c>
      <c r="D76" s="47">
        <f>+'El Paso'!F46</f>
        <v>-657254.01</v>
      </c>
      <c r="E76" s="47">
        <f>+C76-D76</f>
        <v>511389.48</v>
      </c>
      <c r="F76" s="370">
        <f>+'El Paso'!A39</f>
        <v>37268</v>
      </c>
      <c r="G76" s="425" t="s">
        <v>154</v>
      </c>
      <c r="H76" s="32" t="s">
        <v>100</v>
      </c>
      <c r="I76" s="32"/>
      <c r="J76" s="32"/>
      <c r="K76" s="32"/>
    </row>
    <row r="77" spans="1:11" x14ac:dyDescent="0.25">
      <c r="A77" s="248" t="s">
        <v>1</v>
      </c>
      <c r="B77" s="375">
        <f>+NW!$F$41</f>
        <v>-22218</v>
      </c>
      <c r="C77" s="354">
        <f>+B77*$J$3</f>
        <v>-47324.34</v>
      </c>
      <c r="D77" s="354">
        <f>+NW!E49</f>
        <v>-507243.77</v>
      </c>
      <c r="E77" s="354">
        <f>+C77-D77</f>
        <v>459919.43000000005</v>
      </c>
      <c r="F77" s="369">
        <f>+NW!B41</f>
        <v>37268</v>
      </c>
      <c r="G77" s="203" t="s">
        <v>153</v>
      </c>
      <c r="H77" s="32" t="s">
        <v>115</v>
      </c>
      <c r="I77" s="32"/>
      <c r="J77" s="32"/>
      <c r="K77" s="32"/>
    </row>
    <row r="78" spans="1:11" x14ac:dyDescent="0.25">
      <c r="A78" s="32" t="s">
        <v>157</v>
      </c>
      <c r="B78" s="398">
        <f>SUBTOTAL(9,B74:B77)</f>
        <v>-65739</v>
      </c>
      <c r="C78" s="393">
        <f>SUBTOTAL(9,C74:C77)</f>
        <v>-140024.07</v>
      </c>
      <c r="D78" s="393">
        <f>SUBTOTAL(9,D74:D77)</f>
        <v>-404209.66000000003</v>
      </c>
      <c r="E78" s="393">
        <f>SUBTOTAL(9,E74:E77)</f>
        <v>264185.58999999997</v>
      </c>
      <c r="F78" s="369"/>
      <c r="G78" s="203"/>
      <c r="H78" s="32"/>
      <c r="I78" s="32"/>
      <c r="J78" s="32"/>
      <c r="K78" s="32"/>
    </row>
    <row r="79" spans="1:11" x14ac:dyDescent="0.25">
      <c r="B79" s="286"/>
      <c r="C79" s="247"/>
      <c r="G79" s="203"/>
    </row>
    <row r="80" spans="1:11" x14ac:dyDescent="0.25">
      <c r="A80" s="371" t="s">
        <v>159</v>
      </c>
      <c r="B80" s="286"/>
      <c r="C80" s="247"/>
      <c r="G80" s="203"/>
    </row>
    <row r="81" spans="1:12" x14ac:dyDescent="0.25">
      <c r="A81" s="248" t="s">
        <v>88</v>
      </c>
      <c r="B81" s="373">
        <f>+NGPL!F38</f>
        <v>130784</v>
      </c>
      <c r="C81" s="486">
        <f>+B81*$J$5</f>
        <v>285109.12</v>
      </c>
      <c r="D81" s="47">
        <f>+NGPL!D45</f>
        <v>328071.84000000003</v>
      </c>
      <c r="E81" s="47">
        <f>+C81-D81</f>
        <v>-42962.72000000003</v>
      </c>
      <c r="F81" s="370">
        <f>+NGPL!A38</f>
        <v>37268</v>
      </c>
      <c r="G81" s="203" t="s">
        <v>153</v>
      </c>
      <c r="H81" s="32" t="s">
        <v>115</v>
      </c>
      <c r="I81" s="32"/>
      <c r="J81" s="32"/>
      <c r="K81" s="32"/>
    </row>
    <row r="82" spans="1:12" x14ac:dyDescent="0.25">
      <c r="A82" s="248" t="s">
        <v>142</v>
      </c>
      <c r="B82" s="373">
        <f>+PEPL!D41</f>
        <v>-16473</v>
      </c>
      <c r="C82" s="487">
        <f>+B82*$J$4</f>
        <v>-35581.68</v>
      </c>
      <c r="D82" s="47">
        <f>+PEPL!D47</f>
        <v>145479.79999999999</v>
      </c>
      <c r="E82" s="47">
        <f>+C82-D82</f>
        <v>-181061.47999999998</v>
      </c>
      <c r="F82" s="370">
        <f>+PEPL!A41</f>
        <v>37268</v>
      </c>
      <c r="G82" s="32" t="s">
        <v>328</v>
      </c>
      <c r="H82" s="32" t="s">
        <v>100</v>
      </c>
      <c r="I82" s="32" t="s">
        <v>141</v>
      </c>
      <c r="J82" s="32"/>
      <c r="K82" s="32"/>
    </row>
    <row r="83" spans="1:12" ht="13.5" customHeight="1" outlineLevel="2" x14ac:dyDescent="0.25">
      <c r="A83" s="248" t="s">
        <v>110</v>
      </c>
      <c r="B83" s="206">
        <f>+CIG!D42</f>
        <v>17587</v>
      </c>
      <c r="C83" s="487">
        <f>+B83*$J$4</f>
        <v>37987.920000000006</v>
      </c>
      <c r="D83" s="200">
        <f>+CIG!D49</f>
        <v>385997.44</v>
      </c>
      <c r="E83" s="70">
        <f>+C83-D83</f>
        <v>-348009.52</v>
      </c>
      <c r="F83" s="370">
        <f>+CIG!A42</f>
        <v>37268</v>
      </c>
      <c r="G83" s="203" t="s">
        <v>154</v>
      </c>
      <c r="H83" s="32" t="s">
        <v>113</v>
      </c>
      <c r="I83" s="32" t="s">
        <v>180</v>
      </c>
      <c r="J83" s="32"/>
      <c r="K83" s="32"/>
    </row>
    <row r="84" spans="1:12" x14ac:dyDescent="0.25">
      <c r="A84" s="248" t="s">
        <v>31</v>
      </c>
      <c r="B84" s="377">
        <f>+Lonestar!F43</f>
        <v>24486.02</v>
      </c>
      <c r="C84" s="505">
        <f>+B84*J60</f>
        <v>53379.523600000008</v>
      </c>
      <c r="D84" s="354">
        <f>+Lonestar!D50</f>
        <v>26732.240000000002</v>
      </c>
      <c r="E84" s="354">
        <f>+C84-D84</f>
        <v>26647.283600000006</v>
      </c>
      <c r="F84" s="369">
        <f>+Lonestar!A43</f>
        <v>37268</v>
      </c>
      <c r="G84" s="32" t="s">
        <v>328</v>
      </c>
      <c r="H84" s="32" t="s">
        <v>102</v>
      </c>
      <c r="I84" s="32"/>
      <c r="J84" s="32"/>
      <c r="K84" s="32"/>
    </row>
    <row r="85" spans="1:12" x14ac:dyDescent="0.25">
      <c r="A85" s="2" t="s">
        <v>160</v>
      </c>
      <c r="B85" s="394">
        <f>SUBTOTAL(9,B81:B84)</f>
        <v>156384.01999999999</v>
      </c>
      <c r="C85" s="393">
        <f>SUBTOTAL(9,C81:C84)</f>
        <v>340894.8836</v>
      </c>
      <c r="D85" s="393">
        <f>SUBTOTAL(9,D81:D84)</f>
        <v>886281.32000000007</v>
      </c>
      <c r="E85" s="393">
        <f>SUBTOTAL(9,E81:E84)</f>
        <v>-545386.43640000001</v>
      </c>
      <c r="F85" s="369"/>
      <c r="H85" s="32"/>
      <c r="I85" s="32"/>
      <c r="J85" s="32"/>
      <c r="K85" s="32"/>
    </row>
    <row r="86" spans="1:12" x14ac:dyDescent="0.25">
      <c r="B86" s="286"/>
      <c r="C86" s="247"/>
    </row>
    <row r="87" spans="1:12" x14ac:dyDescent="0.25">
      <c r="A87" s="2" t="s">
        <v>165</v>
      </c>
      <c r="B87" s="394">
        <f>SUBTOTAL(9,B67:B84)</f>
        <v>447255.02</v>
      </c>
      <c r="C87" s="393">
        <f>SUBTOTAL(9,C67:C84)</f>
        <v>971148.41360000009</v>
      </c>
      <c r="D87" s="393">
        <f>SUBTOTAL(9,D67:D84)</f>
        <v>-774924.17999999993</v>
      </c>
      <c r="E87" s="393">
        <f>SUBTOTAL(9,E67:E84)</f>
        <v>1746072.5936</v>
      </c>
      <c r="F87" s="369"/>
      <c r="H87" s="32"/>
      <c r="I87" s="32"/>
      <c r="J87" s="32"/>
      <c r="K87" s="32"/>
    </row>
    <row r="88" spans="1:12" x14ac:dyDescent="0.25">
      <c r="A88" s="32"/>
      <c r="B88" s="351"/>
      <c r="C88" s="374"/>
      <c r="D88" s="351"/>
      <c r="E88" s="351"/>
      <c r="F88" s="369"/>
      <c r="H88" s="32"/>
      <c r="I88" s="32"/>
      <c r="J88" s="32"/>
      <c r="K88" s="32"/>
    </row>
    <row r="89" spans="1:12" x14ac:dyDescent="0.25">
      <c r="A89" s="32"/>
      <c r="B89" s="354"/>
      <c r="C89" s="373"/>
      <c r="D89" s="293"/>
      <c r="E89" s="293"/>
      <c r="F89" s="369"/>
      <c r="G89" s="32"/>
      <c r="I89" s="32"/>
      <c r="J89" s="32"/>
      <c r="K89" s="32"/>
      <c r="L89" s="32"/>
    </row>
    <row r="90" spans="1:12" ht="13.8" thickBot="1" x14ac:dyDescent="0.3">
      <c r="A90" s="2" t="s">
        <v>167</v>
      </c>
      <c r="B90" s="401">
        <f>+C87+B52</f>
        <v>2593303.7135999999</v>
      </c>
      <c r="C90" s="206"/>
      <c r="D90" s="351"/>
      <c r="E90" s="351"/>
      <c r="F90" s="358"/>
      <c r="H90" s="32"/>
      <c r="I90" s="32"/>
      <c r="J90" s="32"/>
      <c r="K90" s="32"/>
    </row>
    <row r="91" spans="1:12" ht="13.8" thickTop="1" x14ac:dyDescent="0.25">
      <c r="A91" s="2" t="s">
        <v>168</v>
      </c>
      <c r="B91" s="14">
        <f>+B87+C52</f>
        <v>1197526.190099257</v>
      </c>
      <c r="C91" s="376"/>
      <c r="D91" s="427"/>
      <c r="E91" s="293"/>
      <c r="F91" s="358"/>
      <c r="G91" s="32"/>
      <c r="H91" s="32"/>
      <c r="I91" s="32"/>
      <c r="J91" s="32"/>
    </row>
    <row r="92" spans="1:12" x14ac:dyDescent="0.25">
      <c r="A92" s="32"/>
      <c r="B92" s="47"/>
      <c r="C92" s="378"/>
      <c r="D92" s="293"/>
      <c r="E92" s="293"/>
      <c r="F92" s="204"/>
      <c r="G92" s="32"/>
      <c r="H92" s="32"/>
      <c r="I92" s="32"/>
      <c r="J92" s="32"/>
    </row>
    <row r="93" spans="1:12" x14ac:dyDescent="0.25">
      <c r="A93" s="32"/>
      <c r="B93" s="47"/>
      <c r="C93" s="69"/>
      <c r="E93" s="32"/>
      <c r="F93" s="32"/>
      <c r="G93" s="32"/>
      <c r="H93" s="32"/>
      <c r="I93" s="32"/>
    </row>
    <row r="94" spans="1:12" x14ac:dyDescent="0.25">
      <c r="A94" s="32"/>
      <c r="B94" s="47"/>
      <c r="C94" s="69"/>
      <c r="D94" s="32"/>
      <c r="E94" s="32"/>
      <c r="F94" s="32"/>
      <c r="G94" s="32"/>
      <c r="H94" s="32"/>
    </row>
    <row r="95" spans="1:12" x14ac:dyDescent="0.25">
      <c r="A95" s="32"/>
      <c r="B95" s="200"/>
      <c r="C95" s="294"/>
      <c r="D95" s="16"/>
      <c r="E95" s="32"/>
      <c r="F95" s="32"/>
      <c r="G95" s="32"/>
      <c r="H95" s="32"/>
    </row>
    <row r="101" spans="1:8" x14ac:dyDescent="0.25">
      <c r="A101" s="32"/>
      <c r="B101" s="200"/>
      <c r="C101" s="69"/>
      <c r="D101" s="70"/>
      <c r="E101" s="32"/>
      <c r="F101" s="32"/>
      <c r="G101" s="32"/>
      <c r="H101" s="32"/>
    </row>
    <row r="102" spans="1:8" x14ac:dyDescent="0.25">
      <c r="A102" s="32"/>
      <c r="B102" s="47"/>
      <c r="C102" s="14"/>
      <c r="D102" s="32"/>
      <c r="E102" s="32"/>
      <c r="F102" s="32"/>
      <c r="G102" s="32"/>
      <c r="H102" s="32"/>
    </row>
    <row r="103" spans="1:8" x14ac:dyDescent="0.25">
      <c r="A103" s="32"/>
      <c r="B103" s="47"/>
      <c r="C103" s="14"/>
      <c r="D103" s="32"/>
      <c r="E103" s="32"/>
      <c r="F103" s="32"/>
      <c r="G103" s="32"/>
      <c r="H103" s="32"/>
    </row>
    <row r="104" spans="1:8" x14ac:dyDescent="0.25">
      <c r="A104" s="32"/>
      <c r="B104" s="200"/>
      <c r="C104" s="14"/>
      <c r="D104" s="70"/>
      <c r="E104" s="32"/>
      <c r="F104" s="32"/>
      <c r="G104" s="32"/>
      <c r="H104" s="32"/>
    </row>
    <row r="105" spans="1:8" x14ac:dyDescent="0.25">
      <c r="A105" s="32"/>
      <c r="B105" s="200"/>
      <c r="C105" s="69"/>
      <c r="D105" s="70"/>
      <c r="E105" s="32"/>
      <c r="F105" s="32"/>
      <c r="G105" s="32"/>
      <c r="H105" s="32"/>
    </row>
    <row r="106" spans="1:8" x14ac:dyDescent="0.25">
      <c r="A106" s="32"/>
      <c r="B106" s="200"/>
      <c r="C106" s="69"/>
      <c r="D106" s="32"/>
      <c r="E106" s="32"/>
      <c r="F106" s="32"/>
      <c r="G106" s="32"/>
      <c r="H106" s="32"/>
    </row>
    <row r="107" spans="1:8" x14ac:dyDescent="0.25">
      <c r="A107" s="32"/>
      <c r="B107" s="200"/>
      <c r="C107" s="367"/>
      <c r="D107" s="32"/>
      <c r="E107" s="32"/>
      <c r="F107" s="32"/>
      <c r="G107" s="32"/>
      <c r="H107" s="32"/>
    </row>
    <row r="108" spans="1:8" x14ac:dyDescent="0.25">
      <c r="A108" s="32"/>
      <c r="B108" s="47"/>
      <c r="C108" s="69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/>
      <c r="B126" s="47"/>
      <c r="D126" s="32"/>
      <c r="E126" s="32"/>
      <c r="F126" s="32"/>
      <c r="G126" s="32"/>
      <c r="H126" s="32"/>
    </row>
    <row r="127" spans="1:8" x14ac:dyDescent="0.25">
      <c r="A127" s="32">
        <v>300</v>
      </c>
      <c r="B127" s="47"/>
      <c r="D127" s="32"/>
      <c r="E127" s="32"/>
      <c r="F127" s="32"/>
      <c r="G127" s="32"/>
      <c r="H127" s="32"/>
    </row>
    <row r="128" spans="1:8" x14ac:dyDescent="0.25">
      <c r="A128" s="32">
        <v>35</v>
      </c>
      <c r="B128" s="47"/>
      <c r="D128" s="32"/>
      <c r="E128" s="32"/>
      <c r="F128" s="32"/>
      <c r="G128" s="32"/>
      <c r="H128" s="32"/>
    </row>
    <row r="129" spans="1:8" x14ac:dyDescent="0.25">
      <c r="A129" s="32">
        <f>+A128*A127</f>
        <v>10500</v>
      </c>
      <c r="B129" s="47"/>
      <c r="D129" s="32"/>
      <c r="E129" s="32"/>
      <c r="F129" s="32"/>
      <c r="G129" s="32"/>
      <c r="H129" s="32"/>
    </row>
    <row r="130" spans="1:8" x14ac:dyDescent="0.25">
      <c r="A130" s="32"/>
      <c r="B130" s="47"/>
      <c r="D130" s="32"/>
      <c r="E130" s="32"/>
      <c r="F130" s="32"/>
      <c r="G130" s="32"/>
      <c r="H130" s="32"/>
    </row>
    <row r="131" spans="1:8" x14ac:dyDescent="0.25">
      <c r="A131" s="32"/>
      <c r="B131" s="47"/>
      <c r="D131" s="32"/>
      <c r="E131" s="32"/>
      <c r="F131" s="32"/>
      <c r="G131" s="32"/>
      <c r="H131" s="32"/>
    </row>
    <row r="132" spans="1:8" x14ac:dyDescent="0.25">
      <c r="A132" s="32"/>
      <c r="B132" s="47"/>
      <c r="D132" s="32"/>
      <c r="E132" s="32"/>
      <c r="F132" s="32"/>
      <c r="G132" s="32"/>
      <c r="H132" s="32"/>
    </row>
    <row r="133" spans="1:8" x14ac:dyDescent="0.25">
      <c r="A133" s="32"/>
      <c r="B133" s="47"/>
      <c r="C133" s="69"/>
      <c r="D133" s="32"/>
      <c r="E133" s="32"/>
      <c r="F133" s="32"/>
      <c r="G133" s="32"/>
      <c r="H133" s="32"/>
    </row>
    <row r="134" spans="1:8" x14ac:dyDescent="0.25">
      <c r="A134" s="32"/>
      <c r="B134" s="47"/>
      <c r="C134" s="69"/>
      <c r="D134" s="32"/>
      <c r="E134" s="32"/>
      <c r="F134" s="32"/>
      <c r="G134" s="32"/>
      <c r="H134" s="32"/>
    </row>
    <row r="135" spans="1:8" x14ac:dyDescent="0.25">
      <c r="A135" s="32"/>
      <c r="B135" s="47"/>
      <c r="C135" s="69"/>
      <c r="D135" s="32"/>
      <c r="E135" s="32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32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  <row r="139" spans="1:8" x14ac:dyDescent="0.25">
      <c r="A139" s="32"/>
      <c r="B139" s="47"/>
      <c r="C139" s="69"/>
      <c r="D139" s="32"/>
      <c r="E139" s="32"/>
      <c r="F139" s="32"/>
      <c r="G139" s="32"/>
      <c r="H139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5" workbookViewId="0">
      <selection activeCell="B25" sqref="B25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7" t="s">
        <v>10</v>
      </c>
      <c r="B5" s="434" t="s">
        <v>19</v>
      </c>
      <c r="C5" s="434" t="s">
        <v>20</v>
      </c>
      <c r="D5" s="434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35">
        <v>1</v>
      </c>
      <c r="B6" s="416">
        <v>152595</v>
      </c>
      <c r="C6" s="416">
        <v>150415</v>
      </c>
      <c r="D6" s="310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35">
        <v>2</v>
      </c>
      <c r="B7" s="442">
        <v>151711</v>
      </c>
      <c r="C7" s="416">
        <v>150642</v>
      </c>
      <c r="D7" s="310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35">
        <v>3</v>
      </c>
      <c r="B8" s="442">
        <v>130476</v>
      </c>
      <c r="C8" s="416">
        <v>128588</v>
      </c>
      <c r="D8" s="310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35">
        <v>4</v>
      </c>
      <c r="B9" s="442">
        <v>157869</v>
      </c>
      <c r="C9" s="416">
        <v>157685</v>
      </c>
      <c r="D9" s="310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35">
        <v>5</v>
      </c>
      <c r="B10" s="442">
        <v>153621</v>
      </c>
      <c r="C10" s="416">
        <v>153806</v>
      </c>
      <c r="D10" s="310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35">
        <v>6</v>
      </c>
      <c r="B11" s="442">
        <v>157371</v>
      </c>
      <c r="C11" s="416">
        <v>156381</v>
      </c>
      <c r="D11" s="310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35">
        <v>7</v>
      </c>
      <c r="B12" s="442">
        <v>161938</v>
      </c>
      <c r="C12" s="416">
        <v>164999</v>
      </c>
      <c r="D12" s="310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35">
        <v>8</v>
      </c>
      <c r="B13" s="442">
        <v>162302</v>
      </c>
      <c r="C13" s="416">
        <v>164696</v>
      </c>
      <c r="D13" s="310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35">
        <v>9</v>
      </c>
      <c r="B14" s="416">
        <v>107614</v>
      </c>
      <c r="C14" s="416">
        <v>148440</v>
      </c>
      <c r="D14" s="310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35">
        <v>10</v>
      </c>
      <c r="B15" s="416">
        <v>147290</v>
      </c>
      <c r="C15" s="416">
        <v>144402</v>
      </c>
      <c r="D15" s="310">
        <f t="shared" si="0"/>
        <v>-2888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35">
        <v>11</v>
      </c>
      <c r="B16" s="416">
        <v>154336</v>
      </c>
      <c r="C16" s="416">
        <v>162333</v>
      </c>
      <c r="D16" s="310">
        <f t="shared" si="0"/>
        <v>7997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35">
        <v>12</v>
      </c>
      <c r="B17" s="416">
        <v>158258</v>
      </c>
      <c r="C17" s="416">
        <v>147089</v>
      </c>
      <c r="D17" s="310">
        <f t="shared" si="0"/>
        <v>-11169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35">
        <v>13</v>
      </c>
      <c r="B18" s="416"/>
      <c r="C18" s="416"/>
      <c r="D18" s="310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35">
        <v>14</v>
      </c>
      <c r="B19" s="416"/>
      <c r="C19" s="416"/>
      <c r="D19" s="310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35">
        <v>15</v>
      </c>
      <c r="B20" s="416"/>
      <c r="C20" s="416"/>
      <c r="D20" s="310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35">
        <v>16</v>
      </c>
      <c r="B21" s="416"/>
      <c r="C21" s="416"/>
      <c r="D21" s="310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35">
        <v>17</v>
      </c>
      <c r="B22" s="442"/>
      <c r="C22" s="416"/>
      <c r="D22" s="310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35">
        <v>18</v>
      </c>
      <c r="B23" s="442"/>
      <c r="C23" s="416"/>
      <c r="D23" s="310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35">
        <v>19</v>
      </c>
      <c r="B24" s="442"/>
      <c r="C24" s="442"/>
      <c r="D24" s="490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35">
        <v>20</v>
      </c>
      <c r="B25" s="442"/>
      <c r="C25" s="442"/>
      <c r="D25" s="490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35">
        <v>21</v>
      </c>
      <c r="B26" s="442"/>
      <c r="C26" s="442"/>
      <c r="D26" s="490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35">
        <v>22</v>
      </c>
      <c r="B27" s="442"/>
      <c r="C27" s="442"/>
      <c r="D27" s="490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35">
        <v>23</v>
      </c>
      <c r="B28" s="442"/>
      <c r="C28" s="442"/>
      <c r="D28" s="490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35">
        <v>24</v>
      </c>
      <c r="B29" s="442"/>
      <c r="C29" s="442"/>
      <c r="D29" s="490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35">
        <v>25</v>
      </c>
      <c r="B30" s="442"/>
      <c r="C30" s="442"/>
      <c r="D30" s="490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35">
        <v>26</v>
      </c>
      <c r="B31" s="416"/>
      <c r="C31" s="416"/>
      <c r="D31" s="310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35">
        <v>27</v>
      </c>
      <c r="B32" s="416"/>
      <c r="C32" s="416"/>
      <c r="D32" s="310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35">
        <v>28</v>
      </c>
      <c r="B33" s="416"/>
      <c r="C33" s="416"/>
      <c r="D33" s="310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35">
        <v>29</v>
      </c>
      <c r="B34" s="416"/>
      <c r="C34" s="416"/>
      <c r="D34" s="310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35">
        <v>30</v>
      </c>
      <c r="B35" s="416"/>
      <c r="C35" s="416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35">
        <v>31</v>
      </c>
      <c r="B36" s="416"/>
      <c r="C36" s="416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35"/>
      <c r="B37" s="416">
        <f>SUM(B6:B36)</f>
        <v>1795381</v>
      </c>
      <c r="C37" s="416">
        <f>SUM(C6:C36)</f>
        <v>1829476</v>
      </c>
      <c r="D37" s="416">
        <f>SUM(D6:D36)</f>
        <v>34095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6"/>
      <c r="B38" s="285"/>
      <c r="C38" s="437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37256</v>
      </c>
      <c r="B39" s="285"/>
      <c r="C39" s="440"/>
      <c r="D39" s="497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37268</v>
      </c>
      <c r="B40" s="285"/>
      <c r="C40" s="441"/>
      <c r="D40" s="310">
        <f>+D39+D37</f>
        <v>3885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37256</v>
      </c>
      <c r="B45" s="32"/>
      <c r="C45" s="32"/>
      <c r="D45" s="498">
        <v>272582</v>
      </c>
      <c r="H45">
        <v>12</v>
      </c>
    </row>
    <row r="46" spans="1:16" x14ac:dyDescent="0.25">
      <c r="A46" s="49">
        <f>+A40</f>
        <v>37268</v>
      </c>
      <c r="B46" s="32"/>
      <c r="C46" s="32"/>
      <c r="D46" s="380">
        <f>+D37*'by type_area'!J3</f>
        <v>72622.349999999991</v>
      </c>
      <c r="H46">
        <v>500</v>
      </c>
    </row>
    <row r="47" spans="1:16" x14ac:dyDescent="0.25">
      <c r="A47" s="32"/>
      <c r="B47" s="32"/>
      <c r="C47" s="32"/>
      <c r="D47" s="200">
        <f>+D46+D45</f>
        <v>345204.35</v>
      </c>
      <c r="H47">
        <f>+H46*H45</f>
        <v>6000</v>
      </c>
    </row>
    <row r="48" spans="1:16" x14ac:dyDescent="0.25">
      <c r="H48">
        <v>5895</v>
      </c>
    </row>
    <row r="49" spans="8:8" x14ac:dyDescent="0.25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C35" sqref="C35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-6061</v>
      </c>
      <c r="C14" s="24">
        <v>-6000</v>
      </c>
      <c r="D14" s="24">
        <f t="shared" si="0"/>
        <v>61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>
        <v>-34067</v>
      </c>
      <c r="C16" s="24">
        <v>-35000</v>
      </c>
      <c r="D16" s="24">
        <f t="shared" si="0"/>
        <v>-933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5">
      <c r="A36" s="12"/>
      <c r="B36" s="24">
        <f>SUM(B5:B35)</f>
        <v>-629697</v>
      </c>
      <c r="C36" s="24">
        <f>SUM(C5:C35)</f>
        <v>-628810</v>
      </c>
      <c r="D36" s="24">
        <f t="shared" si="0"/>
        <v>887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5">
      <c r="A37" s="26"/>
      <c r="B37"/>
      <c r="C37" s="14"/>
      <c r="D37" s="329">
        <f>+summary!I5</f>
        <v>2.1800000000000002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5">
      <c r="B38"/>
      <c r="C38"/>
      <c r="D38" s="138">
        <f>+D37*D36</f>
        <v>1933.66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5">
      <c r="A39" s="57">
        <v>37256</v>
      </c>
      <c r="B39"/>
      <c r="C39" s="15"/>
      <c r="D39" s="537">
        <v>-33241.410000000003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5">
      <c r="A40" s="57">
        <v>37268</v>
      </c>
      <c r="B40"/>
      <c r="C40" s="48"/>
      <c r="D40" s="138">
        <f>+D39+D38</f>
        <v>-31307.750000000004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5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5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5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5">
      <c r="A44" s="32" t="s">
        <v>149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5">
      <c r="A45" s="49">
        <f>+A39</f>
        <v>37256</v>
      </c>
      <c r="B45" s="32"/>
      <c r="C45" s="32"/>
      <c r="D45" s="532">
        <v>-18079</v>
      </c>
    </row>
    <row r="46" spans="1:65" x14ac:dyDescent="0.25">
      <c r="A46" s="49">
        <f>+A40</f>
        <v>37268</v>
      </c>
      <c r="B46" s="32"/>
      <c r="C46" s="32"/>
      <c r="D46" s="355">
        <f>+D36</f>
        <v>887</v>
      </c>
    </row>
    <row r="47" spans="1:65" x14ac:dyDescent="0.25">
      <c r="A47" s="32"/>
      <c r="B47" s="32"/>
      <c r="C47" s="32"/>
      <c r="D47" s="14">
        <f>+D46+D45</f>
        <v>-17192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C10" sqref="C10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f>346332+31653</f>
        <v>377985</v>
      </c>
      <c r="C5" s="90">
        <v>373035</v>
      </c>
      <c r="D5" s="90">
        <f>+C5-B5</f>
        <v>-4950</v>
      </c>
      <c r="E5" s="275"/>
      <c r="F5" s="273"/>
    </row>
    <row r="6" spans="1:13" x14ac:dyDescent="0.25">
      <c r="A6" s="87">
        <v>78311</v>
      </c>
      <c r="B6" s="90">
        <f>125215+15707</f>
        <v>140922</v>
      </c>
      <c r="C6" s="90">
        <v>119950</v>
      </c>
      <c r="D6" s="90">
        <f t="shared" ref="D6:D17" si="0">+C6-B6</f>
        <v>-20972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500238</v>
      </c>
      <c r="B7" s="90">
        <f>302887+20769</f>
        <v>323656</v>
      </c>
      <c r="C7" s="90">
        <v>346781</v>
      </c>
      <c r="D7" s="90">
        <f t="shared" si="0"/>
        <v>23125</v>
      </c>
      <c r="E7" s="275"/>
      <c r="F7" s="273"/>
      <c r="L7" t="s">
        <v>25</v>
      </c>
      <c r="M7">
        <v>7.6</v>
      </c>
    </row>
    <row r="8" spans="1:13" x14ac:dyDescent="0.25">
      <c r="A8" s="87">
        <v>500239</v>
      </c>
      <c r="B8" s="90">
        <f>363271+23538</f>
        <v>386809</v>
      </c>
      <c r="C8" s="90">
        <v>310435</v>
      </c>
      <c r="D8" s="90">
        <f t="shared" si="0"/>
        <v>-76374</v>
      </c>
      <c r="E8" s="461"/>
      <c r="F8" s="273"/>
    </row>
    <row r="9" spans="1:13" x14ac:dyDescent="0.25">
      <c r="A9" s="87">
        <v>500293</v>
      </c>
      <c r="B9" s="90">
        <f>207111+17695</f>
        <v>224806</v>
      </c>
      <c r="C9" s="90">
        <v>236280</v>
      </c>
      <c r="D9" s="90">
        <f t="shared" si="0"/>
        <v>11474</v>
      </c>
      <c r="E9" s="275"/>
      <c r="F9" s="273"/>
    </row>
    <row r="10" spans="1:13" x14ac:dyDescent="0.25">
      <c r="A10" s="87">
        <v>500302</v>
      </c>
      <c r="B10" s="90"/>
      <c r="C10" s="90">
        <v>3312</v>
      </c>
      <c r="D10" s="90">
        <f t="shared" si="0"/>
        <v>3312</v>
      </c>
      <c r="E10" s="275"/>
      <c r="F10" s="273"/>
    </row>
    <row r="11" spans="1:13" x14ac:dyDescent="0.25">
      <c r="A11" s="87">
        <v>500303</v>
      </c>
      <c r="B11" s="90"/>
      <c r="C11" s="90">
        <v>114645</v>
      </c>
      <c r="D11" s="90">
        <f t="shared" si="0"/>
        <v>114645</v>
      </c>
      <c r="E11" s="275"/>
      <c r="F11" s="273"/>
    </row>
    <row r="12" spans="1:13" x14ac:dyDescent="0.25">
      <c r="A12" s="91">
        <v>500305</v>
      </c>
      <c r="B12" s="90">
        <f>556267+52510</f>
        <v>608777</v>
      </c>
      <c r="C12" s="90">
        <v>578790</v>
      </c>
      <c r="D12" s="90">
        <f t="shared" si="0"/>
        <v>-29987</v>
      </c>
      <c r="E12" s="276"/>
      <c r="F12" s="273"/>
    </row>
    <row r="13" spans="1:13" x14ac:dyDescent="0.25">
      <c r="A13" s="87">
        <v>500307</v>
      </c>
      <c r="B13" s="90">
        <f>32448+2288</f>
        <v>34736</v>
      </c>
      <c r="C13" s="90">
        <v>14896</v>
      </c>
      <c r="D13" s="90">
        <f t="shared" si="0"/>
        <v>-19840</v>
      </c>
      <c r="E13" s="275"/>
      <c r="F13" s="273"/>
    </row>
    <row r="14" spans="1:13" x14ac:dyDescent="0.25">
      <c r="A14" s="87">
        <v>500313</v>
      </c>
      <c r="B14" s="90"/>
      <c r="C14" s="90">
        <v>707</v>
      </c>
      <c r="D14" s="90">
        <f t="shared" si="0"/>
        <v>707</v>
      </c>
      <c r="E14" s="275"/>
      <c r="F14" s="27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5">
      <c r="A16" s="87">
        <v>500655</v>
      </c>
      <c r="B16" s="90">
        <f>83991+8000</f>
        <v>91991</v>
      </c>
      <c r="C16" s="90"/>
      <c r="D16" s="90">
        <f t="shared" si="0"/>
        <v>-91991</v>
      </c>
      <c r="E16" s="275"/>
      <c r="F16" s="273"/>
    </row>
    <row r="17" spans="1:6" x14ac:dyDescent="0.25">
      <c r="A17" s="87">
        <v>500657</v>
      </c>
      <c r="B17" s="88">
        <f>62420+5520</f>
        <v>67940</v>
      </c>
      <c r="C17" s="88">
        <v>83988</v>
      </c>
      <c r="D17" s="94">
        <f t="shared" si="0"/>
        <v>16048</v>
      </c>
      <c r="E17" s="275"/>
      <c r="F17" s="273"/>
    </row>
    <row r="18" spans="1:6" x14ac:dyDescent="0.25">
      <c r="A18" s="87"/>
      <c r="B18" s="88"/>
      <c r="C18" s="88"/>
      <c r="D18" s="88">
        <f>SUM(D5:D17)</f>
        <v>-74803</v>
      </c>
      <c r="E18" s="275"/>
      <c r="F18" s="273"/>
    </row>
    <row r="19" spans="1:6" x14ac:dyDescent="0.25">
      <c r="A19" s="87" t="s">
        <v>81</v>
      </c>
      <c r="B19" s="88"/>
      <c r="C19" s="88"/>
      <c r="D19" s="95">
        <f>+summary!I5</f>
        <v>2.1800000000000002</v>
      </c>
      <c r="E19" s="277"/>
      <c r="F19" s="273"/>
    </row>
    <row r="20" spans="1:6" x14ac:dyDescent="0.25">
      <c r="A20" s="87"/>
      <c r="B20" s="88"/>
      <c r="C20" s="88"/>
      <c r="D20" s="96">
        <f>+D19*D18</f>
        <v>-163070.54</v>
      </c>
      <c r="E20" s="207"/>
      <c r="F20" s="274"/>
    </row>
    <row r="21" spans="1:6" x14ac:dyDescent="0.25">
      <c r="A21" s="87"/>
      <c r="B21" s="88"/>
      <c r="C21" s="88"/>
      <c r="D21" s="96"/>
      <c r="E21" s="207"/>
      <c r="F21" s="74"/>
    </row>
    <row r="22" spans="1:6" x14ac:dyDescent="0.25">
      <c r="A22" s="99">
        <v>37256</v>
      </c>
      <c r="B22" s="88"/>
      <c r="C22" s="88"/>
      <c r="D22" s="538">
        <v>40609.26</v>
      </c>
      <c r="E22" s="207"/>
      <c r="F22" s="66"/>
    </row>
    <row r="23" spans="1:6" x14ac:dyDescent="0.25">
      <c r="A23" s="87"/>
      <c r="B23" s="88"/>
      <c r="C23" s="88"/>
      <c r="D23" s="311"/>
      <c r="E23" s="207"/>
      <c r="F23" s="66"/>
    </row>
    <row r="24" spans="1:6" ht="13.8" thickBot="1" x14ac:dyDescent="0.3">
      <c r="A24" s="99">
        <v>37268</v>
      </c>
      <c r="B24" s="88"/>
      <c r="C24" s="88"/>
      <c r="D24" s="321">
        <f>+D22+D20</f>
        <v>-122461.28</v>
      </c>
      <c r="E24" s="207"/>
      <c r="F24" s="66"/>
    </row>
    <row r="25" spans="1:6" ht="13.8" thickTop="1" x14ac:dyDescent="0.25">
      <c r="E25" s="278"/>
    </row>
    <row r="28" spans="1:6" x14ac:dyDescent="0.25">
      <c r="A28" s="32" t="s">
        <v>149</v>
      </c>
      <c r="B28" s="32"/>
      <c r="C28" s="32"/>
      <c r="D28" s="32"/>
      <c r="E28" s="348"/>
    </row>
    <row r="29" spans="1:6" x14ac:dyDescent="0.25">
      <c r="A29" s="49">
        <f>+A22</f>
        <v>37256</v>
      </c>
      <c r="B29" s="32"/>
      <c r="C29" s="32"/>
      <c r="D29" s="532">
        <v>31706</v>
      </c>
    </row>
    <row r="30" spans="1:6" x14ac:dyDescent="0.25">
      <c r="A30" s="49">
        <f>+A24</f>
        <v>37268</v>
      </c>
      <c r="B30" s="32"/>
      <c r="C30" s="32"/>
      <c r="D30" s="355">
        <f>+D18</f>
        <v>-74803</v>
      </c>
    </row>
    <row r="31" spans="1:6" x14ac:dyDescent="0.25">
      <c r="A31" s="32"/>
      <c r="B31" s="32"/>
      <c r="C31" s="32"/>
      <c r="D31" s="14">
        <f>+D30+D29</f>
        <v>-43097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E43" sqref="E43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11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11" t="s">
        <v>39</v>
      </c>
      <c r="I3" s="4" t="s">
        <v>19</v>
      </c>
      <c r="J3" s="4" t="s">
        <v>20</v>
      </c>
      <c r="K3" s="409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11"/>
      <c r="I4" s="14"/>
      <c r="J4" s="14"/>
      <c r="K4" s="14">
        <f t="shared" ref="K4:K9" si="0">+J4-I4</f>
        <v>0</v>
      </c>
      <c r="L4" s="364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1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4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1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4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1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4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1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4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1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4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11"/>
      <c r="I10" s="14"/>
      <c r="J10" s="14"/>
      <c r="K10" s="14"/>
      <c r="L10" s="364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11"/>
      <c r="I11" s="14"/>
      <c r="J11" s="14"/>
      <c r="K11" s="15"/>
      <c r="L11" s="364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11"/>
      <c r="I12" s="24"/>
      <c r="J12" s="24"/>
      <c r="K12" s="110"/>
      <c r="L12" s="413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32379</v>
      </c>
      <c r="E13" s="11">
        <v>34000</v>
      </c>
      <c r="F13" s="25">
        <f t="shared" si="2"/>
        <v>1466</v>
      </c>
      <c r="G13" s="25"/>
      <c r="I13" s="24"/>
      <c r="J13" s="24"/>
      <c r="K13" s="24">
        <f>SUM(K4:K12)</f>
        <v>135930</v>
      </c>
      <c r="L13" s="413"/>
      <c r="M13" s="110">
        <f>SUM(M4:M12)</f>
        <v>489002.35000000003</v>
      </c>
    </row>
    <row r="14" spans="1:14" x14ac:dyDescent="0.2">
      <c r="A14" s="41">
        <v>11</v>
      </c>
      <c r="B14" s="11">
        <v>30694</v>
      </c>
      <c r="C14" s="11">
        <v>32067</v>
      </c>
      <c r="D14" s="11">
        <v>32638</v>
      </c>
      <c r="E14" s="11">
        <v>34000</v>
      </c>
      <c r="F14" s="25">
        <f t="shared" si="2"/>
        <v>2735</v>
      </c>
      <c r="G14" s="25"/>
    </row>
    <row r="15" spans="1:14" x14ac:dyDescent="0.2">
      <c r="A15" s="41">
        <v>12</v>
      </c>
      <c r="B15" s="11">
        <v>31245</v>
      </c>
      <c r="C15" s="11">
        <v>27834</v>
      </c>
      <c r="D15" s="11">
        <v>29946</v>
      </c>
      <c r="E15" s="11">
        <v>31791</v>
      </c>
      <c r="F15" s="25">
        <f t="shared" si="2"/>
        <v>-1566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393779</v>
      </c>
      <c r="C35" s="11">
        <f>SUM(C4:C34)</f>
        <v>400962</v>
      </c>
      <c r="D35" s="11">
        <f>SUM(D4:D34)</f>
        <v>388231</v>
      </c>
      <c r="E35" s="11">
        <f>SUM(E4:E34)</f>
        <v>385363</v>
      </c>
      <c r="F35" s="11">
        <f>+E35-D35+C35-B35</f>
        <v>4315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00">
        <f>+summary!I4</f>
        <v>2.16</v>
      </c>
    </row>
    <row r="38" spans="1:7" x14ac:dyDescent="0.2">
      <c r="C38" s="48"/>
      <c r="D38" s="47"/>
      <c r="E38" s="48"/>
      <c r="F38" s="46">
        <f>+F37*F35</f>
        <v>9320.4000000000015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7"/>
      <c r="D40" s="111"/>
      <c r="E40" s="467"/>
      <c r="F40" s="543">
        <v>460426.69</v>
      </c>
      <c r="G40" s="25"/>
    </row>
    <row r="41" spans="1:7" x14ac:dyDescent="0.2">
      <c r="A41" s="57">
        <v>37268</v>
      </c>
      <c r="C41" s="106"/>
      <c r="D41" s="106"/>
      <c r="E41" s="106"/>
      <c r="F41" s="106">
        <f>+F38+F40</f>
        <v>469747.09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44">
        <v>17967</v>
      </c>
      <c r="E46" s="11"/>
      <c r="F46" s="11"/>
      <c r="G46" s="25"/>
    </row>
    <row r="47" spans="1:7" x14ac:dyDescent="0.2">
      <c r="A47" s="49">
        <f>+A41</f>
        <v>37268</v>
      </c>
      <c r="D47" s="355">
        <f>+F35</f>
        <v>4315</v>
      </c>
      <c r="E47" s="11"/>
      <c r="F47" s="11"/>
      <c r="G47" s="25"/>
    </row>
    <row r="48" spans="1:7" x14ac:dyDescent="0.2">
      <c r="D48" s="14">
        <f>+D47+D46</f>
        <v>22282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D13" sqref="D13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179049</v>
      </c>
      <c r="C6" s="11">
        <v>179049</v>
      </c>
      <c r="D6" s="11"/>
      <c r="E6" s="11">
        <v>-643</v>
      </c>
      <c r="F6" s="11">
        <f t="shared" ref="F6:F35" si="2">+C6+E6-B6-D6</f>
        <v>-643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29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180242</v>
      </c>
      <c r="C14" s="11">
        <v>185290</v>
      </c>
      <c r="D14" s="11"/>
      <c r="E14" s="11">
        <v>-5992</v>
      </c>
      <c r="F14" s="11">
        <f t="shared" si="2"/>
        <v>-944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156730</v>
      </c>
      <c r="C15" s="11">
        <v>168069</v>
      </c>
      <c r="D15" s="11"/>
      <c r="E15" s="11">
        <v>-2752</v>
      </c>
      <c r="F15" s="11">
        <f t="shared" si="2"/>
        <v>8587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161920</v>
      </c>
      <c r="C16" s="11">
        <v>162390</v>
      </c>
      <c r="D16" s="11"/>
      <c r="E16" s="11">
        <v>-1246</v>
      </c>
      <c r="F16" s="11">
        <f t="shared" si="2"/>
        <v>-776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2143307</v>
      </c>
      <c r="C36" s="11">
        <f>SUM(C5:C35)</f>
        <v>2157522</v>
      </c>
      <c r="D36" s="11">
        <f>SUM(D5:D35)</f>
        <v>0</v>
      </c>
      <c r="E36" s="11">
        <f>SUM(E5:E35)</f>
        <v>-14044</v>
      </c>
      <c r="F36" s="11">
        <f>SUM(F5:F35)</f>
        <v>171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37256</v>
      </c>
      <c r="F39" s="512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37268</v>
      </c>
      <c r="F41" s="336">
        <f>+F39+F36</f>
        <v>-22218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37256</v>
      </c>
      <c r="C47" s="32"/>
      <c r="D47" s="32"/>
      <c r="E47" s="493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37268</v>
      </c>
      <c r="C48" s="32"/>
      <c r="D48" s="32"/>
      <c r="E48" s="380">
        <f>+F36*'by type_area'!J3</f>
        <v>364.22999999999996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-507243.77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0" workbookViewId="0">
      <selection activeCell="C43" sqref="C43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5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5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5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5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5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5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5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5">
      <c r="A16" s="10">
        <v>9</v>
      </c>
      <c r="B16" s="11">
        <v>89763</v>
      </c>
      <c r="C16" s="11">
        <v>89032</v>
      </c>
      <c r="D16" s="11">
        <f t="shared" si="0"/>
        <v>-731</v>
      </c>
      <c r="E16" s="10"/>
      <c r="F16" s="11"/>
      <c r="G16" s="11"/>
      <c r="H16" s="11"/>
    </row>
    <row r="17" spans="1:8" x14ac:dyDescent="0.25">
      <c r="A17" s="10">
        <v>10</v>
      </c>
      <c r="B17" s="11">
        <v>93179</v>
      </c>
      <c r="C17" s="11">
        <v>92822</v>
      </c>
      <c r="D17" s="11">
        <f t="shared" si="0"/>
        <v>-357</v>
      </c>
      <c r="E17" s="10"/>
      <c r="F17" s="11"/>
      <c r="G17" s="11"/>
      <c r="H17" s="11"/>
    </row>
    <row r="18" spans="1:8" x14ac:dyDescent="0.25">
      <c r="A18" s="10">
        <v>11</v>
      </c>
      <c r="B18" s="11">
        <v>100949</v>
      </c>
      <c r="C18" s="11">
        <v>100822</v>
      </c>
      <c r="D18" s="11">
        <f t="shared" si="0"/>
        <v>-127</v>
      </c>
      <c r="E18" s="10"/>
      <c r="F18" s="11"/>
      <c r="G18" s="11"/>
      <c r="H18" s="11"/>
    </row>
    <row r="19" spans="1:8" x14ac:dyDescent="0.25">
      <c r="A19" s="10">
        <v>12</v>
      </c>
      <c r="B19" s="11">
        <v>93076</v>
      </c>
      <c r="C19" s="11">
        <v>92822</v>
      </c>
      <c r="D19" s="11">
        <f t="shared" si="0"/>
        <v>-254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1196927</v>
      </c>
      <c r="C39" s="11">
        <f>SUM(C8:C38)</f>
        <v>1204513</v>
      </c>
      <c r="D39" s="11">
        <f>SUM(D8:D38)</f>
        <v>7586</v>
      </c>
      <c r="E39" s="10"/>
      <c r="F39" s="11"/>
      <c r="G39" s="11"/>
      <c r="H39" s="11"/>
    </row>
    <row r="40" spans="1:8" x14ac:dyDescent="0.25">
      <c r="A40" s="26"/>
      <c r="D40" s="75">
        <f>+summary!I4</f>
        <v>2.16</v>
      </c>
      <c r="E40" s="26"/>
      <c r="H40" s="75"/>
    </row>
    <row r="41" spans="1:8" x14ac:dyDescent="0.25">
      <c r="D41" s="195">
        <f>+D40*D39</f>
        <v>16385.760000000002</v>
      </c>
      <c r="F41" s="247"/>
      <c r="H41" s="195"/>
    </row>
    <row r="42" spans="1:8" x14ac:dyDescent="0.25">
      <c r="A42" s="57">
        <v>37256</v>
      </c>
      <c r="D42" s="561">
        <v>12821</v>
      </c>
      <c r="E42" s="57"/>
      <c r="H42" s="195"/>
    </row>
    <row r="43" spans="1:8" x14ac:dyDescent="0.25">
      <c r="A43" s="57">
        <v>37268</v>
      </c>
      <c r="D43" s="196">
        <f>+D42+D41</f>
        <v>29206.760000000002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149</v>
      </c>
      <c r="B47" s="32"/>
      <c r="C47" s="32"/>
      <c r="D47" s="32"/>
    </row>
    <row r="48" spans="1:8" x14ac:dyDescent="0.25">
      <c r="A48" s="49">
        <f>+A42</f>
        <v>37256</v>
      </c>
      <c r="B48" s="32"/>
      <c r="C48" s="32"/>
      <c r="D48" s="532">
        <v>-49782</v>
      </c>
    </row>
    <row r="49" spans="1:4" x14ac:dyDescent="0.25">
      <c r="A49" s="49">
        <f>+A43</f>
        <v>37268</v>
      </c>
      <c r="B49" s="32"/>
      <c r="C49" s="32"/>
      <c r="D49" s="355">
        <f>+D39</f>
        <v>7586</v>
      </c>
    </row>
    <row r="50" spans="1:4" x14ac:dyDescent="0.25">
      <c r="A50" s="32"/>
      <c r="B50" s="32"/>
      <c r="C50" s="32"/>
      <c r="D50" s="14">
        <f>+D49+D48</f>
        <v>-42196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workbookViewId="0">
      <selection activeCell="C62" sqref="C62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2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37256</v>
      </c>
      <c r="C5" s="554">
        <v>1531269.56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252</v>
      </c>
      <c r="J6" s="15"/>
    </row>
    <row r="7" spans="1:14" x14ac:dyDescent="0.25">
      <c r="A7" s="57">
        <v>37268</v>
      </c>
      <c r="I7" s="3" t="s">
        <v>259</v>
      </c>
      <c r="J7" s="15"/>
    </row>
    <row r="8" spans="1:14" x14ac:dyDescent="0.25">
      <c r="A8" s="248">
        <v>50895</v>
      </c>
      <c r="B8" s="343">
        <f>2760-2245-365</f>
        <v>150</v>
      </c>
      <c r="J8" s="15"/>
    </row>
    <row r="9" spans="1:14" x14ac:dyDescent="0.25">
      <c r="A9" s="248">
        <v>60874</v>
      </c>
      <c r="B9" s="343">
        <f>1453+136</f>
        <v>1589</v>
      </c>
      <c r="J9" s="15"/>
    </row>
    <row r="10" spans="1:14" x14ac:dyDescent="0.25">
      <c r="A10" s="248">
        <v>78169</v>
      </c>
      <c r="B10" s="343">
        <f>178760-151754-17897</f>
        <v>9109</v>
      </c>
      <c r="I10" s="87" t="s">
        <v>253</v>
      </c>
      <c r="J10" s="489" t="s">
        <v>27</v>
      </c>
      <c r="K10" s="87" t="s">
        <v>254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89">
        <f>+C40</f>
        <v>842376.79</v>
      </c>
      <c r="K11" s="87" t="s">
        <v>255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5"/>
      <c r="I12" s="87">
        <v>24693</v>
      </c>
      <c r="J12" s="451">
        <v>275313.71999999997</v>
      </c>
      <c r="K12" s="87" t="s">
        <v>256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9">
        <f>4800-6040-563</f>
        <v>-1803</v>
      </c>
      <c r="I13" s="87">
        <v>21665</v>
      </c>
      <c r="J13" s="451">
        <v>73449.16</v>
      </c>
      <c r="K13" s="87" t="s">
        <v>258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9">
        <f>2160-777</f>
        <v>1383</v>
      </c>
      <c r="I14" s="87">
        <v>22664</v>
      </c>
      <c r="J14" s="454">
        <v>23612.35</v>
      </c>
      <c r="K14" s="87" t="s">
        <v>260</v>
      </c>
      <c r="L14" s="87"/>
      <c r="M14" s="87"/>
      <c r="N14" s="87"/>
    </row>
    <row r="15" spans="1:14" ht="20.100000000000001" customHeight="1" x14ac:dyDescent="0.25">
      <c r="A15" s="32">
        <v>500255</v>
      </c>
      <c r="B15" s="319">
        <f>4800-775-12</f>
        <v>4013</v>
      </c>
      <c r="I15" s="87"/>
      <c r="J15" s="451">
        <f>SUM(J11:J14)</f>
        <v>1214752.02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9">
        <v>-102</v>
      </c>
      <c r="I16" s="87"/>
      <c r="J16" s="451"/>
      <c r="K16" s="87"/>
      <c r="L16" s="87"/>
      <c r="M16" s="87"/>
      <c r="N16" s="87"/>
    </row>
    <row r="17" spans="1:14" x14ac:dyDescent="0.25">
      <c r="A17" s="280">
        <v>500267</v>
      </c>
      <c r="B17" s="344">
        <f>676924-615694-50036</f>
        <v>11194</v>
      </c>
      <c r="I17" s="87"/>
      <c r="J17" s="451"/>
      <c r="K17" s="87"/>
      <c r="L17" s="87"/>
      <c r="M17" s="87"/>
      <c r="N17" s="87"/>
    </row>
    <row r="18" spans="1:14" x14ac:dyDescent="0.25">
      <c r="B18" s="14">
        <f>SUM(B8:B17)</f>
        <v>25533</v>
      </c>
      <c r="I18" s="87"/>
      <c r="J18" s="451"/>
      <c r="K18" s="87"/>
      <c r="L18" s="87"/>
      <c r="M18" s="87"/>
      <c r="N18" s="87"/>
    </row>
    <row r="19" spans="1:14" x14ac:dyDescent="0.25">
      <c r="B19" s="15">
        <f>+summary!I5</f>
        <v>2.1800000000000002</v>
      </c>
      <c r="C19" s="199">
        <f>+B19*B18</f>
        <v>55661.94</v>
      </c>
      <c r="G19" s="32"/>
      <c r="H19" s="385"/>
      <c r="I19" s="330"/>
      <c r="J19" s="451"/>
      <c r="K19" s="87"/>
      <c r="L19" s="87"/>
      <c r="M19" s="87"/>
      <c r="N19" s="87"/>
    </row>
    <row r="20" spans="1:14" x14ac:dyDescent="0.25">
      <c r="C20" s="324">
        <f>+C19+C5</f>
        <v>1586931.5</v>
      </c>
      <c r="E20" s="15"/>
      <c r="G20" s="32"/>
      <c r="H20" s="385"/>
      <c r="I20" s="330"/>
      <c r="J20" s="451"/>
      <c r="K20" s="87"/>
      <c r="L20" s="87"/>
      <c r="M20" s="87"/>
      <c r="N20" s="87"/>
    </row>
    <row r="21" spans="1:14" x14ac:dyDescent="0.25">
      <c r="E21" s="15"/>
      <c r="G21" s="32"/>
      <c r="H21" s="385"/>
      <c r="I21" s="330"/>
      <c r="J21" s="451"/>
      <c r="K21" s="87"/>
      <c r="L21" s="87"/>
      <c r="M21" s="87"/>
      <c r="N21" s="87"/>
    </row>
    <row r="22" spans="1:14" x14ac:dyDescent="0.25">
      <c r="A22" s="32" t="s">
        <v>86</v>
      </c>
      <c r="G22" s="32"/>
      <c r="H22" s="385"/>
      <c r="I22" s="330"/>
      <c r="J22" s="451"/>
      <c r="K22" s="87"/>
      <c r="L22" s="87"/>
      <c r="M22" s="87"/>
      <c r="N22" s="87"/>
    </row>
    <row r="23" spans="1:14" x14ac:dyDescent="0.25">
      <c r="A23" s="2" t="s">
        <v>73</v>
      </c>
      <c r="G23" s="32"/>
      <c r="H23" s="385"/>
      <c r="I23" s="330"/>
      <c r="J23" s="451"/>
      <c r="K23" s="87"/>
      <c r="L23" s="87"/>
      <c r="M23" s="87"/>
      <c r="N23" s="87"/>
    </row>
    <row r="24" spans="1:14" x14ac:dyDescent="0.25">
      <c r="G24" s="32"/>
      <c r="H24" s="385"/>
      <c r="I24" s="330"/>
      <c r="J24" s="451"/>
      <c r="K24" s="87"/>
      <c r="L24" s="87"/>
      <c r="M24" s="87"/>
      <c r="N24" s="87"/>
    </row>
    <row r="25" spans="1:14" x14ac:dyDescent="0.25">
      <c r="G25" s="32"/>
      <c r="H25" s="385"/>
      <c r="I25" s="330"/>
      <c r="J25" s="451"/>
      <c r="K25" s="87"/>
      <c r="L25" s="87"/>
      <c r="M25" s="87"/>
      <c r="N25" s="87"/>
    </row>
    <row r="26" spans="1:14" x14ac:dyDescent="0.25">
      <c r="A26" s="198">
        <v>37256</v>
      </c>
      <c r="C26" s="554">
        <v>275313.71999999997</v>
      </c>
      <c r="G26" s="32"/>
      <c r="H26" s="15"/>
      <c r="I26" s="330"/>
      <c r="J26" s="451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51"/>
      <c r="K27" s="87"/>
      <c r="L27" s="87"/>
      <c r="M27" s="87"/>
      <c r="N27" s="87"/>
    </row>
    <row r="28" spans="1:14" x14ac:dyDescent="0.25">
      <c r="A28" s="57">
        <v>37268</v>
      </c>
      <c r="G28" s="32"/>
      <c r="H28" s="15"/>
      <c r="I28" s="87"/>
      <c r="J28" s="451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51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51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51"/>
      <c r="K31" s="87"/>
      <c r="L31" s="87"/>
      <c r="M31" s="87"/>
      <c r="N31" s="87"/>
    </row>
    <row r="32" spans="1:14" x14ac:dyDescent="0.25">
      <c r="B32" s="15">
        <f>+summary!I4</f>
        <v>2.16</v>
      </c>
      <c r="C32" s="199">
        <f>+B32*B31</f>
        <v>0</v>
      </c>
    </row>
    <row r="33" spans="1:9" x14ac:dyDescent="0.25">
      <c r="C33" s="324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149</v>
      </c>
      <c r="F37" s="357">
        <v>24268</v>
      </c>
      <c r="G37" s="357">
        <v>24693</v>
      </c>
      <c r="H37" s="357">
        <v>24361</v>
      </c>
    </row>
    <row r="38" spans="1:9" x14ac:dyDescent="0.25">
      <c r="A38" s="32" t="s">
        <v>74</v>
      </c>
      <c r="E38" s="49">
        <f>+A5</f>
        <v>37256</v>
      </c>
      <c r="F38" s="532">
        <v>378562</v>
      </c>
      <c r="G38" s="546">
        <v>117857</v>
      </c>
      <c r="H38" s="532">
        <v>186976</v>
      </c>
      <c r="I38" s="14"/>
    </row>
    <row r="39" spans="1:9" x14ac:dyDescent="0.25">
      <c r="E39" s="49">
        <f>+A7</f>
        <v>37268</v>
      </c>
      <c r="F39" s="355">
        <f>+B18</f>
        <v>25533</v>
      </c>
      <c r="G39" s="355">
        <f>+B31</f>
        <v>0</v>
      </c>
      <c r="H39" s="355">
        <f>+B46</f>
        <v>2544</v>
      </c>
      <c r="I39" s="14"/>
    </row>
    <row r="40" spans="1:9" x14ac:dyDescent="0.25">
      <c r="A40" s="49">
        <v>37256</v>
      </c>
      <c r="C40" s="554">
        <v>842376.79</v>
      </c>
      <c r="F40" s="14">
        <f>+F39+F38</f>
        <v>404095</v>
      </c>
      <c r="G40" s="14">
        <f>+G39+G38</f>
        <v>117857</v>
      </c>
      <c r="H40" s="14">
        <f>+H39+H38</f>
        <v>189520</v>
      </c>
      <c r="I40" s="14">
        <f>+H40+G40+F40</f>
        <v>711472</v>
      </c>
    </row>
    <row r="41" spans="1:9" x14ac:dyDescent="0.25">
      <c r="G41" s="32"/>
      <c r="H41" s="15"/>
      <c r="I41" s="32"/>
    </row>
    <row r="42" spans="1:9" x14ac:dyDescent="0.25">
      <c r="A42" s="245">
        <v>37268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>
        <v>1557</v>
      </c>
      <c r="G44" s="32"/>
      <c r="H44" s="386"/>
      <c r="I44" s="14"/>
    </row>
    <row r="45" spans="1:9" x14ac:dyDescent="0.25">
      <c r="A45" s="32">
        <v>500392</v>
      </c>
      <c r="B45" s="250">
        <v>987</v>
      </c>
      <c r="G45" s="32"/>
      <c r="H45" s="386"/>
      <c r="I45" s="14"/>
    </row>
    <row r="46" spans="1:9" x14ac:dyDescent="0.25">
      <c r="B46" s="14">
        <f>SUM(B43:B45)</f>
        <v>2544</v>
      </c>
      <c r="G46" s="32"/>
      <c r="H46" s="386"/>
      <c r="I46" s="14"/>
    </row>
    <row r="47" spans="1:9" x14ac:dyDescent="0.25">
      <c r="B47" s="199">
        <f>+summary!I5</f>
        <v>2.1800000000000002</v>
      </c>
      <c r="C47" s="199">
        <f>+B47*B46</f>
        <v>5545.92</v>
      </c>
      <c r="H47" s="386"/>
      <c r="I47" s="14"/>
    </row>
    <row r="48" spans="1:9" x14ac:dyDescent="0.25">
      <c r="C48" s="324">
        <f>+C47+C40</f>
        <v>847922.71000000008</v>
      </c>
      <c r="E48" s="204"/>
      <c r="H48" s="386"/>
      <c r="I48" s="14"/>
    </row>
    <row r="49" spans="1:9" x14ac:dyDescent="0.25">
      <c r="E49" s="213"/>
      <c r="H49" s="386"/>
      <c r="I49" s="14"/>
    </row>
    <row r="50" spans="1:9" x14ac:dyDescent="0.25">
      <c r="E50" s="204"/>
      <c r="H50" s="386"/>
      <c r="I50" s="14"/>
    </row>
    <row r="51" spans="1:9" x14ac:dyDescent="0.25">
      <c r="C51" s="313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555">
        <v>73445.08</v>
      </c>
      <c r="D53" s="32" t="s">
        <v>119</v>
      </c>
      <c r="E53" s="50"/>
      <c r="H53" s="386">
        <v>21665</v>
      </c>
      <c r="I53" s="546">
        <v>36401</v>
      </c>
    </row>
    <row r="54" spans="1:9" x14ac:dyDescent="0.25">
      <c r="A54" s="32">
        <v>22664</v>
      </c>
      <c r="B54" s="15" t="s">
        <v>137</v>
      </c>
      <c r="C54" s="556">
        <v>23612.35</v>
      </c>
      <c r="D54" s="32" t="s">
        <v>120</v>
      </c>
      <c r="H54" s="386">
        <v>22664</v>
      </c>
      <c r="I54" s="557">
        <v>18932</v>
      </c>
    </row>
    <row r="55" spans="1:9" x14ac:dyDescent="0.25">
      <c r="H55" s="387"/>
      <c r="I55" s="16"/>
    </row>
    <row r="56" spans="1:9" x14ac:dyDescent="0.25">
      <c r="C56" s="426"/>
    </row>
    <row r="57" spans="1:9" x14ac:dyDescent="0.25">
      <c r="C57" s="318">
        <f>+C54+C53+C48+C33+C20</f>
        <v>2807225.3600000003</v>
      </c>
      <c r="I57" s="14">
        <f>SUM(I40:I54)</f>
        <v>766805</v>
      </c>
    </row>
    <row r="61" spans="1:9" x14ac:dyDescent="0.25">
      <c r="C61" s="15">
        <f>+DEFS!F49</f>
        <v>-2784383.2</v>
      </c>
    </row>
    <row r="62" spans="1:9" x14ac:dyDescent="0.25">
      <c r="C62" s="15">
        <f>+C61+C57</f>
        <v>22842.160000000149</v>
      </c>
      <c r="I62" s="31">
        <f>+I57+DEFS!K49</f>
        <v>338750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D39" sqref="D39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5">
        <v>23995</v>
      </c>
      <c r="C1" s="231"/>
      <c r="D1" s="314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5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>
        <v>24626</v>
      </c>
      <c r="E12" s="11">
        <v>24000</v>
      </c>
      <c r="F12" s="11">
        <f t="shared" si="0"/>
        <v>-626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>
        <v>24629</v>
      </c>
      <c r="E13" s="11">
        <v>24000</v>
      </c>
      <c r="F13" s="11">
        <f t="shared" si="0"/>
        <v>-629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>
        <v>24633</v>
      </c>
      <c r="E14" s="11">
        <v>24000</v>
      </c>
      <c r="F14" s="11">
        <f t="shared" si="0"/>
        <v>-633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>
        <v>23307</v>
      </c>
      <c r="E15" s="11">
        <v>24000</v>
      </c>
      <c r="F15" s="11">
        <f t="shared" si="0"/>
        <v>693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7">
        <v>23995</v>
      </c>
      <c r="J33" s="357">
        <v>22051</v>
      </c>
      <c r="K33" s="357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32">
        <v>-183022</v>
      </c>
      <c r="J34" s="532">
        <v>-128597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292714</v>
      </c>
      <c r="E35" s="11">
        <f>SUM(E4:E34)</f>
        <v>288000</v>
      </c>
      <c r="F35" s="11">
        <f>SUM(F4:F34)</f>
        <v>-4714</v>
      </c>
      <c r="G35" s="11"/>
      <c r="H35" s="49">
        <f>+A40</f>
        <v>37268</v>
      </c>
      <c r="I35" s="355">
        <f>+C36</f>
        <v>0</v>
      </c>
      <c r="J35" s="355">
        <f>+E36</f>
        <v>-4714</v>
      </c>
      <c r="K35" s="206"/>
      <c r="L35" s="14"/>
    </row>
    <row r="36" spans="1:13" x14ac:dyDescent="0.25">
      <c r="C36" s="25">
        <f>+C35-B35</f>
        <v>0</v>
      </c>
      <c r="E36" s="25">
        <f>+E35-D35</f>
        <v>-4714</v>
      </c>
      <c r="F36" s="25">
        <f>+E36+C36</f>
        <v>-4714</v>
      </c>
      <c r="H36" s="32"/>
      <c r="I36" s="14">
        <f>+I35+I34</f>
        <v>-183022</v>
      </c>
      <c r="J36" s="14">
        <f>+J35+J34</f>
        <v>-133311</v>
      </c>
      <c r="K36" s="14">
        <f>+J36+I36</f>
        <v>-316333</v>
      </c>
      <c r="L36" s="14"/>
    </row>
    <row r="37" spans="1:13" x14ac:dyDescent="0.25">
      <c r="C37" s="316">
        <f>+summary!I5</f>
        <v>2.1800000000000002</v>
      </c>
      <c r="E37" s="104">
        <f>+C37</f>
        <v>2.1800000000000002</v>
      </c>
      <c r="F37" s="138">
        <f>+F36*E37</f>
        <v>-10276.52</v>
      </c>
    </row>
    <row r="38" spans="1:13" x14ac:dyDescent="0.25">
      <c r="C38" s="138">
        <f>+C37*C36</f>
        <v>0</v>
      </c>
      <c r="E38" s="136">
        <f>+E37*E36</f>
        <v>-10276.52</v>
      </c>
      <c r="F38" s="138">
        <f>+E38+C38</f>
        <v>-10276.52</v>
      </c>
    </row>
    <row r="39" spans="1:13" x14ac:dyDescent="0.25">
      <c r="A39" s="57">
        <v>37256</v>
      </c>
      <c r="B39" s="2" t="s">
        <v>45</v>
      </c>
      <c r="C39" s="553">
        <v>-1033420.01</v>
      </c>
      <c r="D39" s="323"/>
      <c r="E39" s="542">
        <v>-571850.34</v>
      </c>
      <c r="F39" s="322">
        <f>+E39+C39</f>
        <v>-1605270.35</v>
      </c>
    </row>
    <row r="40" spans="1:13" x14ac:dyDescent="0.25">
      <c r="A40" s="57">
        <v>37268</v>
      </c>
      <c r="B40" s="2" t="s">
        <v>45</v>
      </c>
      <c r="C40" s="317">
        <f>+C39+C38</f>
        <v>-1033420.01</v>
      </c>
      <c r="D40" s="252"/>
      <c r="E40" s="317">
        <f>+E39+E38</f>
        <v>-582126.86</v>
      </c>
      <c r="F40" s="317">
        <f>+E40+C40</f>
        <v>-1615546.87</v>
      </c>
      <c r="H40" s="131"/>
    </row>
    <row r="41" spans="1:13" x14ac:dyDescent="0.25">
      <c r="C41" s="332"/>
      <c r="D41" s="246"/>
      <c r="E41" s="246"/>
      <c r="H41" s="31">
        <f>+C39+E39+F45+F46+F47+F48</f>
        <v>-2774106.6800000006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</row>
    <row r="44" spans="1:13" x14ac:dyDescent="0.25">
      <c r="C44" s="246"/>
      <c r="D44" s="246"/>
      <c r="E44" s="12">
        <v>22864</v>
      </c>
      <c r="F44" s="463">
        <v>0</v>
      </c>
      <c r="G44" s="249" t="s">
        <v>47</v>
      </c>
      <c r="J44" s="12">
        <v>22864</v>
      </c>
      <c r="K44" s="449"/>
    </row>
    <row r="45" spans="1:13" x14ac:dyDescent="0.25">
      <c r="C45" s="246"/>
      <c r="D45" s="246"/>
      <c r="E45" s="12">
        <v>20379</v>
      </c>
      <c r="F45" s="554">
        <v>-51695.87</v>
      </c>
      <c r="G45" s="249" t="s">
        <v>122</v>
      </c>
      <c r="J45" s="12">
        <v>20379</v>
      </c>
      <c r="K45" s="546">
        <v>2979</v>
      </c>
      <c r="M45" s="14"/>
    </row>
    <row r="46" spans="1:13" x14ac:dyDescent="0.25">
      <c r="C46" s="246"/>
      <c r="D46" s="246"/>
      <c r="E46" s="12">
        <v>26357</v>
      </c>
      <c r="F46" s="551">
        <f>44144.84-58339.66</f>
        <v>-14194.820000000007</v>
      </c>
      <c r="G46" s="249" t="s">
        <v>123</v>
      </c>
      <c r="J46" s="12">
        <v>26357</v>
      </c>
      <c r="K46" s="546">
        <f>26521-24566</f>
        <v>1955</v>
      </c>
    </row>
    <row r="47" spans="1:13" x14ac:dyDescent="0.25">
      <c r="C47" s="246"/>
      <c r="D47" s="246"/>
      <c r="E47" s="12">
        <v>21544</v>
      </c>
      <c r="F47" s="554">
        <v>61340.160000000003</v>
      </c>
      <c r="G47" s="249" t="s">
        <v>124</v>
      </c>
      <c r="J47" s="12">
        <v>21544</v>
      </c>
      <c r="K47" s="546">
        <v>36108</v>
      </c>
    </row>
    <row r="48" spans="1:13" x14ac:dyDescent="0.25">
      <c r="C48" s="246"/>
      <c r="D48" s="246"/>
      <c r="E48" s="12">
        <v>24532</v>
      </c>
      <c r="F48" s="552">
        <v>-1164285.8</v>
      </c>
      <c r="G48" s="249" t="s">
        <v>121</v>
      </c>
      <c r="J48" s="12">
        <v>24532</v>
      </c>
      <c r="K48" s="532">
        <v>-152764</v>
      </c>
    </row>
    <row r="49" spans="3:13" x14ac:dyDescent="0.25">
      <c r="C49" s="246"/>
      <c r="D49" s="246"/>
      <c r="F49" s="333">
        <f>SUM(F40:F48)</f>
        <v>-2784383.2</v>
      </c>
      <c r="G49" s="246"/>
      <c r="K49" s="14">
        <f>SUM(K36:K48)</f>
        <v>-428055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2807225.3600000003</v>
      </c>
      <c r="M51" s="14">
        <f>+Duke!I57</f>
        <v>766805</v>
      </c>
    </row>
    <row r="53" spans="3:13" x14ac:dyDescent="0.25">
      <c r="F53" s="104">
        <f>+F51+F49</f>
        <v>22842.160000000149</v>
      </c>
      <c r="M53" s="16">
        <f>+M51+K49</f>
        <v>338750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8"/>
    </row>
    <row r="63" spans="3:13" x14ac:dyDescent="0.25">
      <c r="F63" s="348"/>
    </row>
    <row r="64" spans="3:13" x14ac:dyDescent="0.25">
      <c r="F64" s="348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-152764</v>
      </c>
      <c r="C69" s="247">
        <f>+F48</f>
        <v>-1164285.8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-183022</v>
      </c>
      <c r="C73" s="247">
        <f>+C40</f>
        <v>-1033420.01</v>
      </c>
    </row>
    <row r="74" spans="1:3" x14ac:dyDescent="0.25">
      <c r="A74">
        <v>22051</v>
      </c>
      <c r="B74" s="31">
        <f>+J36</f>
        <v>-133311</v>
      </c>
      <c r="C74" s="247">
        <f>+E40</f>
        <v>-582126.86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189520</v>
      </c>
      <c r="C77" s="259">
        <f>+Duke!C48</f>
        <v>847922.71000000008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404095</v>
      </c>
      <c r="C79" s="259">
        <f>+Duke!C20</f>
        <v>1586931.5</v>
      </c>
    </row>
    <row r="81" spans="2:3" x14ac:dyDescent="0.25">
      <c r="B81" s="31">
        <f>SUM(B68:B80)</f>
        <v>338750</v>
      </c>
      <c r="C81" s="259">
        <f>SUM(C68:C80)</f>
        <v>22842.159999999916</v>
      </c>
    </row>
    <row r="82" spans="2:3" x14ac:dyDescent="0.25">
      <c r="C82">
        <f>+C81/B81</f>
        <v>6.7430730627306021E-2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F43" sqref="F43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70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71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5471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-203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5369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142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5302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167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6148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-365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5873</v>
      </c>
      <c r="C16" s="11">
        <v>5741</v>
      </c>
      <c r="D16" s="11">
        <v>803</v>
      </c>
      <c r="E16" s="11">
        <v>1125</v>
      </c>
      <c r="F16" s="129">
        <v>979</v>
      </c>
      <c r="G16" s="11">
        <v>872</v>
      </c>
      <c r="H16" s="11">
        <v>1695</v>
      </c>
      <c r="I16" s="11">
        <v>1123</v>
      </c>
      <c r="J16" s="25">
        <f t="shared" si="0"/>
        <v>-489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5548</v>
      </c>
      <c r="C17" s="11">
        <v>5741</v>
      </c>
      <c r="D17" s="11">
        <v>1069</v>
      </c>
      <c r="E17" s="11">
        <v>1124</v>
      </c>
      <c r="F17" s="129">
        <v>985</v>
      </c>
      <c r="G17" s="11">
        <v>872</v>
      </c>
      <c r="H17" s="11">
        <v>1531</v>
      </c>
      <c r="I17" s="11">
        <v>1123</v>
      </c>
      <c r="J17" s="25">
        <f t="shared" si="0"/>
        <v>-273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5510</v>
      </c>
      <c r="C18" s="11">
        <v>5741</v>
      </c>
      <c r="D18" s="11">
        <v>1322</v>
      </c>
      <c r="E18" s="11">
        <v>125</v>
      </c>
      <c r="F18" s="129">
        <v>994</v>
      </c>
      <c r="G18" s="11">
        <v>872</v>
      </c>
      <c r="H18" s="11">
        <v>1481</v>
      </c>
      <c r="I18" s="11">
        <v>1123</v>
      </c>
      <c r="J18" s="25">
        <f t="shared" si="0"/>
        <v>-1446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5678</v>
      </c>
      <c r="C19" s="11">
        <v>5741</v>
      </c>
      <c r="D19" s="11">
        <v>1072</v>
      </c>
      <c r="E19" s="11">
        <v>125</v>
      </c>
      <c r="F19" s="129">
        <v>969</v>
      </c>
      <c r="G19" s="11">
        <v>872</v>
      </c>
      <c r="H19" s="11">
        <v>1537</v>
      </c>
      <c r="I19" s="11">
        <v>1123</v>
      </c>
      <c r="J19" s="25">
        <f t="shared" si="0"/>
        <v>-1395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65355</v>
      </c>
      <c r="C39" s="11">
        <f t="shared" si="1"/>
        <v>68892</v>
      </c>
      <c r="D39" s="11">
        <f t="shared" si="1"/>
        <v>8320</v>
      </c>
      <c r="E39" s="11">
        <f t="shared" si="1"/>
        <v>11499</v>
      </c>
      <c r="F39" s="129">
        <f t="shared" si="1"/>
        <v>11630</v>
      </c>
      <c r="G39" s="11">
        <f t="shared" si="1"/>
        <v>10464</v>
      </c>
      <c r="H39" s="11">
        <f t="shared" si="1"/>
        <v>18112</v>
      </c>
      <c r="I39" s="11">
        <f t="shared" si="1"/>
        <v>13476</v>
      </c>
      <c r="J39" s="25">
        <f t="shared" si="1"/>
        <v>914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+summary!I4</f>
        <v>2.16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1974.2400000000002</v>
      </c>
      <c r="L41"/>
      <c r="R41" s="138"/>
      <c r="X41" s="138"/>
    </row>
    <row r="42" spans="1:24" x14ac:dyDescent="0.25">
      <c r="A42" s="57">
        <v>37256</v>
      </c>
      <c r="C42" s="15"/>
      <c r="J42" s="537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37268</v>
      </c>
      <c r="C43" s="48"/>
      <c r="J43" s="138">
        <f>+J42+J41</f>
        <v>408874.16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149</v>
      </c>
      <c r="B46" s="32"/>
      <c r="C46" s="32"/>
      <c r="D46" s="32"/>
      <c r="L46"/>
    </row>
    <row r="47" spans="1:24" x14ac:dyDescent="0.25">
      <c r="A47" s="49">
        <f>+A42</f>
        <v>37256</v>
      </c>
      <c r="B47" s="32"/>
      <c r="C47" s="32"/>
      <c r="D47" s="532">
        <v>166968</v>
      </c>
      <c r="L47"/>
    </row>
    <row r="48" spans="1:24" x14ac:dyDescent="0.25">
      <c r="A48" s="49">
        <f>+A43</f>
        <v>37268</v>
      </c>
      <c r="B48" s="32"/>
      <c r="C48" s="32"/>
      <c r="D48" s="355">
        <f>+J39</f>
        <v>914</v>
      </c>
      <c r="L48"/>
    </row>
    <row r="49" spans="1:12" x14ac:dyDescent="0.25">
      <c r="A49" s="32"/>
      <c r="B49" s="32"/>
      <c r="C49" s="32"/>
      <c r="D49" s="14">
        <f>+D48+D47</f>
        <v>167882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9" workbookViewId="0">
      <selection activeCell="A44" sqref="A44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7" t="s">
        <v>10</v>
      </c>
      <c r="B7" s="434" t="s">
        <v>19</v>
      </c>
      <c r="C7" s="434" t="s">
        <v>20</v>
      </c>
      <c r="D7" s="434" t="s">
        <v>19</v>
      </c>
      <c r="E7" s="434" t="s">
        <v>20</v>
      </c>
      <c r="F7" s="434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35">
        <v>1</v>
      </c>
      <c r="B8" s="416">
        <v>13305</v>
      </c>
      <c r="C8" s="416">
        <v>1998</v>
      </c>
      <c r="D8" s="416">
        <v>-4206</v>
      </c>
      <c r="E8" s="416"/>
      <c r="F8" s="310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35">
        <v>2</v>
      </c>
      <c r="B9" s="416">
        <v>1426</v>
      </c>
      <c r="C9" s="416">
        <v>1998</v>
      </c>
      <c r="D9" s="416">
        <v>-1924</v>
      </c>
      <c r="E9" s="416"/>
      <c r="F9" s="310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35">
        <v>3</v>
      </c>
      <c r="B10" s="416">
        <v>2</v>
      </c>
      <c r="C10" s="416">
        <v>1333</v>
      </c>
      <c r="D10" s="416"/>
      <c r="E10" s="416"/>
      <c r="F10" s="310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35">
        <v>4</v>
      </c>
      <c r="B11" s="416">
        <v>585</v>
      </c>
      <c r="C11" s="416"/>
      <c r="D11" s="416">
        <v>-861</v>
      </c>
      <c r="E11" s="416"/>
      <c r="F11" s="310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35">
        <v>5</v>
      </c>
      <c r="B12" s="416"/>
      <c r="C12" s="416"/>
      <c r="D12" s="416"/>
      <c r="E12" s="416"/>
      <c r="F12" s="310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35">
        <v>6</v>
      </c>
      <c r="B13" s="416"/>
      <c r="C13" s="416"/>
      <c r="D13" s="416"/>
      <c r="E13" s="416"/>
      <c r="F13" s="310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35">
        <v>7</v>
      </c>
      <c r="B14" s="416"/>
      <c r="C14" s="416"/>
      <c r="D14" s="416"/>
      <c r="E14" s="416"/>
      <c r="F14" s="310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35">
        <v>8</v>
      </c>
      <c r="B15" s="416">
        <v>801</v>
      </c>
      <c r="C15" s="416"/>
      <c r="D15" s="416"/>
      <c r="E15" s="416"/>
      <c r="F15" s="310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35">
        <v>9</v>
      </c>
      <c r="B16" s="416"/>
      <c r="C16" s="416"/>
      <c r="D16" s="416"/>
      <c r="E16" s="416"/>
      <c r="F16" s="310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35">
        <v>10</v>
      </c>
      <c r="B17" s="416"/>
      <c r="C17" s="416"/>
      <c r="D17" s="416"/>
      <c r="E17" s="416"/>
      <c r="F17" s="310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35">
        <v>11</v>
      </c>
      <c r="B18" s="416"/>
      <c r="C18" s="416"/>
      <c r="D18" s="416"/>
      <c r="E18" s="416"/>
      <c r="F18" s="310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35">
        <v>12</v>
      </c>
      <c r="B19" s="416"/>
      <c r="C19" s="416"/>
      <c r="D19" s="416"/>
      <c r="E19" s="416"/>
      <c r="F19" s="310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35">
        <v>13</v>
      </c>
      <c r="B20" s="416"/>
      <c r="C20" s="416"/>
      <c r="D20" s="416"/>
      <c r="E20" s="416"/>
      <c r="F20" s="310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35">
        <v>14</v>
      </c>
      <c r="B21" s="416"/>
      <c r="C21" s="416"/>
      <c r="D21" s="416"/>
      <c r="E21" s="416"/>
      <c r="F21" s="310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35">
        <v>15</v>
      </c>
      <c r="B22" s="416"/>
      <c r="C22" s="416"/>
      <c r="D22" s="416"/>
      <c r="E22" s="416"/>
      <c r="F22" s="310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35">
        <v>16</v>
      </c>
      <c r="B23" s="416"/>
      <c r="C23" s="416"/>
      <c r="D23" s="416"/>
      <c r="E23" s="416"/>
      <c r="F23" s="310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35">
        <v>17</v>
      </c>
      <c r="B24" s="416"/>
      <c r="C24" s="416"/>
      <c r="D24" s="416"/>
      <c r="E24" s="416"/>
      <c r="F24" s="310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35">
        <v>18</v>
      </c>
      <c r="B25" s="416"/>
      <c r="C25" s="416"/>
      <c r="D25" s="416"/>
      <c r="E25" s="416"/>
      <c r="F25" s="310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35">
        <v>19</v>
      </c>
      <c r="B26" s="416"/>
      <c r="C26" s="416"/>
      <c r="D26" s="416"/>
      <c r="E26" s="416"/>
      <c r="F26" s="310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35">
        <v>20</v>
      </c>
      <c r="B27" s="442"/>
      <c r="C27" s="416"/>
      <c r="D27" s="416"/>
      <c r="E27" s="416"/>
      <c r="F27" s="310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35">
        <v>21</v>
      </c>
      <c r="B28" s="416"/>
      <c r="C28" s="416"/>
      <c r="D28" s="416"/>
      <c r="E28" s="416"/>
      <c r="F28" s="310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35">
        <v>22</v>
      </c>
      <c r="B29" s="416"/>
      <c r="C29" s="416"/>
      <c r="D29" s="416"/>
      <c r="E29" s="416"/>
      <c r="F29" s="310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35">
        <v>23</v>
      </c>
      <c r="B30" s="416"/>
      <c r="C30" s="416"/>
      <c r="D30" s="416"/>
      <c r="E30" s="416"/>
      <c r="F30" s="310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35">
        <v>24</v>
      </c>
      <c r="B31" s="416"/>
      <c r="C31" s="416"/>
      <c r="D31" s="416"/>
      <c r="E31" s="416"/>
      <c r="F31" s="310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35">
        <v>25</v>
      </c>
      <c r="B32" s="416"/>
      <c r="C32" s="416"/>
      <c r="D32" s="416"/>
      <c r="E32" s="416"/>
      <c r="F32" s="310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35">
        <v>26</v>
      </c>
      <c r="B33" s="416"/>
      <c r="C33" s="416"/>
      <c r="D33" s="416"/>
      <c r="E33" s="416"/>
      <c r="F33" s="310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35">
        <v>27</v>
      </c>
      <c r="B34" s="416"/>
      <c r="C34" s="416"/>
      <c r="D34" s="416"/>
      <c r="E34" s="416"/>
      <c r="F34" s="310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35">
        <v>28</v>
      </c>
      <c r="B35" s="416"/>
      <c r="C35" s="416"/>
      <c r="D35" s="416"/>
      <c r="E35" s="416"/>
      <c r="F35" s="310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35">
        <v>29</v>
      </c>
      <c r="B36" s="416"/>
      <c r="C36" s="416"/>
      <c r="D36" s="416"/>
      <c r="E36" s="416"/>
      <c r="F36" s="310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35">
        <v>30</v>
      </c>
      <c r="B37" s="416"/>
      <c r="C37" s="416"/>
      <c r="D37" s="416"/>
      <c r="E37" s="416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35">
        <v>31</v>
      </c>
      <c r="B38" s="416"/>
      <c r="C38" s="416"/>
      <c r="D38" s="416"/>
      <c r="E38" s="416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35"/>
      <c r="B39" s="416">
        <f>SUM(B8:B38)</f>
        <v>16119</v>
      </c>
      <c r="C39" s="416">
        <f>SUM(C8:C38)</f>
        <v>5329</v>
      </c>
      <c r="D39" s="416">
        <f>SUM(D8:D38)</f>
        <v>-6991</v>
      </c>
      <c r="E39" s="416">
        <f>SUM(E8:E38)</f>
        <v>0</v>
      </c>
      <c r="F39" s="416">
        <f>SUM(F8:F38)</f>
        <v>-3799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6"/>
      <c r="B40" s="285"/>
      <c r="C40" s="437"/>
      <c r="D40" s="437"/>
      <c r="E40" s="437"/>
      <c r="F40" s="438">
        <f>+summary!I4</f>
        <v>2.16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39">
        <f>+F40*F39</f>
        <v>-8205.84</v>
      </c>
      <c r="J41" s="138"/>
      <c r="N41" s="138"/>
      <c r="R41" s="138"/>
      <c r="V41" s="138"/>
      <c r="Z41" s="138"/>
    </row>
    <row r="42" spans="1:26" ht="15" customHeight="1" x14ac:dyDescent="0.25">
      <c r="A42" s="56">
        <v>37256</v>
      </c>
      <c r="B42" s="285"/>
      <c r="C42" s="440"/>
      <c r="D42" s="440"/>
      <c r="E42" s="440"/>
      <c r="F42" s="534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37268</v>
      </c>
      <c r="B43" s="285"/>
      <c r="C43" s="441"/>
      <c r="D43" s="441"/>
      <c r="E43" s="441"/>
      <c r="F43" s="422">
        <f>+F42+F41</f>
        <v>171983.99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149</v>
      </c>
      <c r="B46" s="32"/>
      <c r="C46" s="32"/>
      <c r="D46" s="32"/>
      <c r="E46" s="11"/>
    </row>
    <row r="47" spans="1:26" x14ac:dyDescent="0.25">
      <c r="A47" s="49">
        <f>+A42</f>
        <v>37256</v>
      </c>
      <c r="B47" s="32"/>
      <c r="C47" s="32"/>
      <c r="D47" s="532">
        <v>-354919</v>
      </c>
      <c r="E47" s="11"/>
    </row>
    <row r="48" spans="1:26" x14ac:dyDescent="0.25">
      <c r="A48" s="49">
        <f>+A43</f>
        <v>37268</v>
      </c>
      <c r="B48" s="32"/>
      <c r="C48" s="32"/>
      <c r="D48" s="355">
        <f>+F39</f>
        <v>-3799</v>
      </c>
      <c r="E48" s="11"/>
    </row>
    <row r="49" spans="1:5" x14ac:dyDescent="0.25">
      <c r="A49" s="32"/>
      <c r="B49" s="32"/>
      <c r="C49" s="32"/>
      <c r="D49" s="14">
        <f>+D48+D47</f>
        <v>-358718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6"/>
  <sheetViews>
    <sheetView tabSelected="1" topLeftCell="A44" workbookViewId="0">
      <selection activeCell="E17" sqref="E17"/>
    </sheetView>
  </sheetViews>
  <sheetFormatPr defaultRowHeight="13.2" x14ac:dyDescent="0.25"/>
  <cols>
    <col min="1" max="1" width="25.88671875" style="285" customWidth="1"/>
    <col min="2" max="2" width="11.109375" style="247" bestFit="1" customWidth="1"/>
    <col min="3" max="3" width="9.6640625" style="286" customWidth="1"/>
    <col min="4" max="4" width="5.109375" style="7" customWidth="1"/>
    <col min="5" max="5" width="11.109375" bestFit="1" customWidth="1"/>
    <col min="6" max="7" width="12.88671875" bestFit="1" customWidth="1"/>
    <col min="9" max="9" width="9.33203125" bestFit="1" customWidth="1"/>
    <col min="10" max="10" width="11.33203125" bestFit="1" customWidth="1"/>
    <col min="11" max="11" width="8.44140625" customWidth="1"/>
    <col min="12" max="12" width="5.109375" customWidth="1"/>
    <col min="14" max="14" width="9.88671875" style="476" bestFit="1" customWidth="1"/>
    <col min="15" max="15" width="9" style="64" bestFit="1" customWidth="1"/>
  </cols>
  <sheetData>
    <row r="2" spans="1:33" ht="20.100000000000001" customHeight="1" x14ac:dyDescent="0.25">
      <c r="A2" s="346" t="s">
        <v>140</v>
      </c>
      <c r="H2" s="368" t="s">
        <v>78</v>
      </c>
      <c r="I2" s="350"/>
    </row>
    <row r="3" spans="1:33" ht="15" customHeight="1" x14ac:dyDescent="0.25">
      <c r="H3" s="289" t="s">
        <v>29</v>
      </c>
      <c r="I3" s="349">
        <f>+'[3]1001'!$K$39</f>
        <v>2.13</v>
      </c>
      <c r="J3" s="379">
        <f ca="1">NOW()</f>
        <v>37270.546647685187</v>
      </c>
    </row>
    <row r="4" spans="1:33" ht="15" customHeight="1" x14ac:dyDescent="0.25">
      <c r="A4" s="34" t="s">
        <v>145</v>
      </c>
      <c r="C4" s="34" t="s">
        <v>5</v>
      </c>
      <c r="H4" s="290" t="s">
        <v>30</v>
      </c>
      <c r="I4" s="291">
        <f>+'[3]1001'!$M$39</f>
        <v>2.16</v>
      </c>
    </row>
    <row r="5" spans="1:33" ht="15" customHeight="1" x14ac:dyDescent="0.25">
      <c r="B5" s="348"/>
      <c r="H5" s="289" t="s">
        <v>117</v>
      </c>
      <c r="I5" s="349">
        <f>+'[3]1001'!$E$39</f>
        <v>2.1800000000000002</v>
      </c>
    </row>
    <row r="6" spans="1:33" ht="12" customHeight="1" x14ac:dyDescent="0.25">
      <c r="C6" s="445"/>
    </row>
    <row r="7" spans="1:33" ht="15" customHeight="1" x14ac:dyDescent="0.25">
      <c r="A7" s="338" t="s">
        <v>89</v>
      </c>
      <c r="B7" s="339" t="s">
        <v>16</v>
      </c>
      <c r="C7" s="340" t="s">
        <v>0</v>
      </c>
      <c r="D7" s="5" t="s">
        <v>146</v>
      </c>
      <c r="E7" s="338" t="s">
        <v>90</v>
      </c>
      <c r="F7" s="341" t="s">
        <v>326</v>
      </c>
      <c r="G7" s="341" t="s">
        <v>101</v>
      </c>
      <c r="H7" s="338" t="s">
        <v>98</v>
      </c>
    </row>
    <row r="8" spans="1:33" ht="15" customHeight="1" x14ac:dyDescent="0.25">
      <c r="A8" s="514" t="s">
        <v>250</v>
      </c>
      <c r="B8" s="486">
        <f>+Duke!$C$20</f>
        <v>1586931.5</v>
      </c>
      <c r="C8" s="206">
        <f>+B8/$I$5</f>
        <v>727950.22935779812</v>
      </c>
      <c r="D8" s="369">
        <f>+Duke!A7</f>
        <v>37268</v>
      </c>
      <c r="E8" s="204" t="s">
        <v>85</v>
      </c>
      <c r="F8" s="204" t="s">
        <v>153</v>
      </c>
      <c r="G8" s="204" t="s">
        <v>100</v>
      </c>
      <c r="H8" s="204" t="s">
        <v>312</v>
      </c>
      <c r="I8" s="70"/>
      <c r="J8" s="47"/>
      <c r="K8" s="32"/>
      <c r="L8" s="32"/>
      <c r="M8" s="32"/>
      <c r="N8" s="385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5">
      <c r="A9" s="514" t="s">
        <v>257</v>
      </c>
      <c r="B9" s="486">
        <f>+Duke!$C$54+Duke!$C$53+Duke!$C$48+Duke!$C$33</f>
        <v>1220293.8600000001</v>
      </c>
      <c r="C9" s="206">
        <f>+B9/$I$5</f>
        <v>559767.82568807341</v>
      </c>
      <c r="D9" s="369">
        <f>+DEFS!A40</f>
        <v>37268</v>
      </c>
      <c r="E9" s="204" t="s">
        <v>85</v>
      </c>
      <c r="F9" s="204" t="s">
        <v>153</v>
      </c>
      <c r="G9" s="204" t="s">
        <v>100</v>
      </c>
      <c r="H9" s="204" t="s">
        <v>314</v>
      </c>
      <c r="I9" s="32"/>
      <c r="J9" s="47"/>
      <c r="K9" s="32"/>
      <c r="L9" s="32"/>
      <c r="M9" s="32"/>
      <c r="N9" s="385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5">
      <c r="A10" s="248" t="s">
        <v>82</v>
      </c>
      <c r="B10" s="486">
        <f>+PNM!$D$23</f>
        <v>815246.48</v>
      </c>
      <c r="C10" s="275">
        <f>+B10/$I$4</f>
        <v>377428.9259259259</v>
      </c>
      <c r="D10" s="370">
        <f>+PNM!A23</f>
        <v>37268</v>
      </c>
      <c r="E10" s="32" t="s">
        <v>85</v>
      </c>
      <c r="F10" s="32" t="s">
        <v>327</v>
      </c>
      <c r="G10" s="32" t="s">
        <v>115</v>
      </c>
      <c r="H10" s="32"/>
      <c r="I10" s="32"/>
      <c r="J10" s="32"/>
      <c r="K10" s="32"/>
      <c r="L10" s="32"/>
      <c r="M10" s="32"/>
      <c r="N10" s="385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5">
      <c r="A11" s="248" t="s">
        <v>80</v>
      </c>
      <c r="B11" s="351">
        <f>+Conoco!$F$41</f>
        <v>469747.09</v>
      </c>
      <c r="C11" s="275">
        <f>+B11/$I$4</f>
        <v>217475.50462962964</v>
      </c>
      <c r="D11" s="369">
        <f>+Conoco!A41</f>
        <v>37268</v>
      </c>
      <c r="E11" s="32" t="s">
        <v>85</v>
      </c>
      <c r="F11" s="32" t="s">
        <v>328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5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5">
      <c r="A12" s="248" t="s">
        <v>94</v>
      </c>
      <c r="B12" s="486">
        <f>+C12*$I$4</f>
        <v>420852.24000000005</v>
      </c>
      <c r="C12" s="275">
        <f>+Mojave!D40</f>
        <v>194839</v>
      </c>
      <c r="D12" s="370">
        <f>+Mojave!A40</f>
        <v>37268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5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5">
      <c r="A13" s="248" t="s">
        <v>2</v>
      </c>
      <c r="B13" s="351">
        <f>+mewborne!$J$43</f>
        <v>408874.16</v>
      </c>
      <c r="C13" s="275">
        <f>+B13/$I$4</f>
        <v>189293.59259259255</v>
      </c>
      <c r="D13" s="370">
        <f>+mewborne!A43</f>
        <v>37268</v>
      </c>
      <c r="E13" s="32" t="s">
        <v>85</v>
      </c>
      <c r="F13" s="32" t="s">
        <v>327</v>
      </c>
      <c r="G13" s="32" t="s">
        <v>99</v>
      </c>
      <c r="H13" s="32"/>
      <c r="I13" s="32"/>
      <c r="J13" s="32"/>
      <c r="K13" s="32"/>
      <c r="L13" s="32"/>
      <c r="M13" s="32"/>
      <c r="N13" s="385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5">
      <c r="A14" s="248" t="s">
        <v>88</v>
      </c>
      <c r="B14" s="351">
        <f>+C14*$I$5</f>
        <v>285109.12</v>
      </c>
      <c r="C14" s="275">
        <f>+NGPL!F38</f>
        <v>130784</v>
      </c>
      <c r="D14" s="370">
        <f>+NGPL!A38</f>
        <v>37268</v>
      </c>
      <c r="E14" s="204" t="s">
        <v>84</v>
      </c>
      <c r="F14" s="32" t="s">
        <v>153</v>
      </c>
      <c r="G14" s="32" t="s">
        <v>115</v>
      </c>
      <c r="H14" s="32"/>
      <c r="I14" s="32"/>
      <c r="J14" s="32"/>
      <c r="K14" s="32"/>
      <c r="L14" s="32"/>
      <c r="M14" s="32"/>
      <c r="N14" s="385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5">
      <c r="A15" s="248" t="s">
        <v>107</v>
      </c>
      <c r="B15" s="351">
        <f>+KN_Westar!F41</f>
        <v>262036.83000000002</v>
      </c>
      <c r="C15" s="275">
        <f>+B15/$I$4</f>
        <v>121313.34722222222</v>
      </c>
      <c r="D15" s="370">
        <f>+KN_Westar!A41</f>
        <v>37268</v>
      </c>
      <c r="E15" s="32" t="s">
        <v>85</v>
      </c>
      <c r="F15" s="32" t="s">
        <v>154</v>
      </c>
      <c r="G15" s="32" t="s">
        <v>100</v>
      </c>
      <c r="H15" s="32"/>
      <c r="I15" s="32"/>
      <c r="J15" s="32"/>
      <c r="K15" s="32"/>
      <c r="L15" s="32"/>
      <c r="M15" s="32"/>
      <c r="N15" s="385">
        <f>+B8+B9+B38</f>
        <v>22842.160000000149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5">
      <c r="A16" s="514" t="s">
        <v>127</v>
      </c>
      <c r="B16" s="486">
        <f>+Calpine!D41</f>
        <v>185104.89</v>
      </c>
      <c r="C16" s="206">
        <f>+B16/$I$4</f>
        <v>85696.708333333328</v>
      </c>
      <c r="D16" s="369">
        <f>+Calpine!A41</f>
        <v>37268</v>
      </c>
      <c r="E16" s="204" t="s">
        <v>85</v>
      </c>
      <c r="F16" s="204" t="s">
        <v>153</v>
      </c>
      <c r="G16" s="204" t="s">
        <v>99</v>
      </c>
      <c r="H16" s="204"/>
      <c r="I16" s="32"/>
      <c r="J16" s="32"/>
      <c r="K16" s="32"/>
      <c r="L16" s="32"/>
      <c r="M16" s="32"/>
      <c r="N16" s="385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5">
      <c r="A17" s="514" t="s">
        <v>32</v>
      </c>
      <c r="B17" s="486">
        <f>+C17*$I$4</f>
        <v>183265.2</v>
      </c>
      <c r="C17" s="206">
        <f>+SoCal!F40</f>
        <v>84845</v>
      </c>
      <c r="D17" s="369">
        <f>+SoCal!A40</f>
        <v>37268</v>
      </c>
      <c r="E17" s="204" t="s">
        <v>84</v>
      </c>
      <c r="F17" s="204" t="s">
        <v>153</v>
      </c>
      <c r="G17" s="204" t="s">
        <v>102</v>
      </c>
      <c r="H17" s="32"/>
      <c r="I17" s="32"/>
      <c r="J17" s="32"/>
      <c r="K17" s="32"/>
      <c r="L17" s="32"/>
      <c r="M17" s="32"/>
      <c r="N17" s="385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5">
      <c r="A18" s="248" t="s">
        <v>207</v>
      </c>
      <c r="B18" s="486">
        <f>+Dominion!D41</f>
        <v>178113.14</v>
      </c>
      <c r="C18" s="275">
        <f>+B18/$I$5</f>
        <v>81703.275229357794</v>
      </c>
      <c r="D18" s="370">
        <f>+Dominion!A41</f>
        <v>37268</v>
      </c>
      <c r="E18" s="32" t="s">
        <v>85</v>
      </c>
      <c r="F18" s="32"/>
      <c r="G18" s="32" t="s">
        <v>99</v>
      </c>
      <c r="H18" s="32"/>
      <c r="I18" s="32"/>
      <c r="J18" s="32"/>
      <c r="K18" s="32"/>
      <c r="L18" s="32"/>
      <c r="M18" s="32"/>
      <c r="N18" s="385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5">
      <c r="A19" s="248" t="s">
        <v>3</v>
      </c>
      <c r="B19" s="486">
        <f>+'Amoco Abo'!$F$43</f>
        <v>171983.99</v>
      </c>
      <c r="C19" s="275">
        <f>+B19/$I$4</f>
        <v>79622.217592592584</v>
      </c>
      <c r="D19" s="370">
        <f>+'Amoco Abo'!A43</f>
        <v>37268</v>
      </c>
      <c r="E19" s="32" t="s">
        <v>85</v>
      </c>
      <c r="F19" s="32" t="s">
        <v>153</v>
      </c>
      <c r="G19" s="32" t="s">
        <v>115</v>
      </c>
      <c r="H19" s="32"/>
      <c r="I19" s="32"/>
      <c r="J19" s="32"/>
      <c r="K19" s="32"/>
      <c r="L19" s="32"/>
      <c r="M19" s="32"/>
      <c r="N19" s="385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5">
      <c r="A20" s="248" t="s">
        <v>210</v>
      </c>
      <c r="B20" s="486">
        <f>+Devon!D41</f>
        <v>162683.32999999999</v>
      </c>
      <c r="C20" s="275">
        <f>+B20/$I$5</f>
        <v>74625.380733944941</v>
      </c>
      <c r="D20" s="370">
        <f>+Devon!A41</f>
        <v>37268</v>
      </c>
      <c r="E20" s="32" t="s">
        <v>85</v>
      </c>
      <c r="F20" s="32" t="s">
        <v>328</v>
      </c>
      <c r="G20" s="32" t="s">
        <v>99</v>
      </c>
      <c r="H20" s="32"/>
      <c r="I20" s="32"/>
      <c r="J20" s="32"/>
      <c r="K20" s="32"/>
      <c r="L20" s="32"/>
      <c r="M20" s="32"/>
      <c r="N20" s="385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5">
      <c r="A21" s="248" t="s">
        <v>218</v>
      </c>
      <c r="B21" s="486">
        <f>+Amarillo!P41</f>
        <v>93317.64</v>
      </c>
      <c r="C21" s="275">
        <f>+B21/$I$4</f>
        <v>43202.611111111109</v>
      </c>
      <c r="D21" s="370">
        <f>+Amarillo!A41</f>
        <v>37268</v>
      </c>
      <c r="E21" s="32" t="s">
        <v>85</v>
      </c>
      <c r="F21" s="32" t="s">
        <v>328</v>
      </c>
      <c r="G21" s="32" t="s">
        <v>113</v>
      </c>
      <c r="H21" s="32"/>
      <c r="I21" s="32"/>
      <c r="J21" s="32"/>
      <c r="K21" s="32"/>
      <c r="L21" s="32"/>
      <c r="M21" s="32" t="s">
        <v>244</v>
      </c>
      <c r="N21" s="385">
        <v>23995</v>
      </c>
      <c r="O21" s="70">
        <v>-1023166</v>
      </c>
      <c r="P21" s="32" t="s">
        <v>246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5">
      <c r="A22" s="248" t="s">
        <v>129</v>
      </c>
      <c r="B22" s="486">
        <f>+EPFS!D41</f>
        <v>93255.409999999989</v>
      </c>
      <c r="C22" s="206">
        <f>+B22/$I$5</f>
        <v>42777.711009174302</v>
      </c>
      <c r="D22" s="369">
        <f>+EPFS!A41</f>
        <v>37268</v>
      </c>
      <c r="E22" s="32" t="s">
        <v>85</v>
      </c>
      <c r="F22" s="32" t="s">
        <v>154</v>
      </c>
      <c r="G22" s="32" t="s">
        <v>102</v>
      </c>
      <c r="H22" s="32"/>
      <c r="I22" s="32"/>
      <c r="J22" s="32"/>
      <c r="K22" s="32"/>
      <c r="L22" s="32"/>
      <c r="M22" s="32" t="s">
        <v>244</v>
      </c>
      <c r="N22" s="385">
        <v>22864</v>
      </c>
      <c r="O22" s="70">
        <v>-58339.66</v>
      </c>
      <c r="P22" s="32" t="s">
        <v>248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2.9" customHeight="1" x14ac:dyDescent="0.25">
      <c r="A23" s="32" t="s">
        <v>103</v>
      </c>
      <c r="B23" s="351">
        <f>+EOG!$J$41</f>
        <v>60225.33</v>
      </c>
      <c r="C23" s="275">
        <f>+B23/$I$4</f>
        <v>27882.097222222223</v>
      </c>
      <c r="D23" s="369">
        <f>+EOG!A41</f>
        <v>37268</v>
      </c>
      <c r="E23" s="32" t="s">
        <v>85</v>
      </c>
      <c r="F23" s="32" t="s">
        <v>327</v>
      </c>
      <c r="G23" s="32" t="s">
        <v>102</v>
      </c>
      <c r="H23" s="32"/>
      <c r="I23" s="15"/>
      <c r="J23" s="32"/>
      <c r="K23" s="32"/>
      <c r="L23" s="32"/>
      <c r="M23" s="32" t="s">
        <v>244</v>
      </c>
      <c r="N23" s="385">
        <v>20379</v>
      </c>
      <c r="O23" s="70">
        <v>-51695.87</v>
      </c>
      <c r="P23" s="32" t="s">
        <v>248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3.5" customHeight="1" x14ac:dyDescent="0.25">
      <c r="A24" s="248" t="s">
        <v>31</v>
      </c>
      <c r="B24" s="351">
        <f>+C24*$I$5</f>
        <v>53379.523600000008</v>
      </c>
      <c r="C24" s="275">
        <f>+Lonestar!F43</f>
        <v>24486.02</v>
      </c>
      <c r="D24" s="369">
        <f>+Lonestar!A43</f>
        <v>37268</v>
      </c>
      <c r="E24" s="32" t="s">
        <v>84</v>
      </c>
      <c r="F24" s="32" t="s">
        <v>328</v>
      </c>
      <c r="G24" s="32" t="s">
        <v>102</v>
      </c>
      <c r="H24" s="32" t="s">
        <v>310</v>
      </c>
      <c r="I24" s="204"/>
      <c r="J24" s="32"/>
      <c r="K24" s="32"/>
      <c r="L24" s="32"/>
      <c r="M24" s="32" t="s">
        <v>244</v>
      </c>
      <c r="N24" s="385">
        <v>26357</v>
      </c>
      <c r="O24" s="70">
        <v>44144.84</v>
      </c>
      <c r="P24" s="32" t="s">
        <v>248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5">
      <c r="A25" s="514" t="s">
        <v>28</v>
      </c>
      <c r="B25" s="351">
        <f>+C25*$I$3</f>
        <v>46178.399999999994</v>
      </c>
      <c r="C25" s="275">
        <f>+williams!J40</f>
        <v>21680</v>
      </c>
      <c r="D25" s="369">
        <f>+williams!A40</f>
        <v>37268</v>
      </c>
      <c r="E25" s="204" t="s">
        <v>85</v>
      </c>
      <c r="F25" s="204" t="s">
        <v>154</v>
      </c>
      <c r="G25" s="204" t="s">
        <v>317</v>
      </c>
      <c r="H25" s="2"/>
      <c r="I25" s="32"/>
      <c r="J25" s="32"/>
      <c r="K25" s="32"/>
      <c r="L25" s="32"/>
      <c r="M25" s="32" t="s">
        <v>244</v>
      </c>
      <c r="N25" s="385">
        <v>21544</v>
      </c>
      <c r="O25" s="70">
        <v>61340.160000000003</v>
      </c>
      <c r="P25" s="32" t="s">
        <v>248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s="293" customFormat="1" ht="12.9" customHeight="1" x14ac:dyDescent="0.25">
      <c r="A26" s="248" t="s">
        <v>23</v>
      </c>
      <c r="B26" s="351">
        <f>+C26*$I$3</f>
        <v>44889.75</v>
      </c>
      <c r="C26" s="353">
        <f>+'Red C'!$F$45</f>
        <v>21075</v>
      </c>
      <c r="D26" s="369">
        <f>+'Red C'!A45</f>
        <v>37268</v>
      </c>
      <c r="E26" s="204" t="s">
        <v>84</v>
      </c>
      <c r="F26" s="32" t="s">
        <v>153</v>
      </c>
      <c r="G26" s="32" t="s">
        <v>115</v>
      </c>
      <c r="H26" s="32"/>
      <c r="I26" s="32"/>
      <c r="J26" s="204"/>
      <c r="K26" s="204"/>
      <c r="L26" s="204"/>
      <c r="M26" s="32" t="s">
        <v>244</v>
      </c>
      <c r="N26" s="477">
        <v>24532</v>
      </c>
      <c r="O26" s="273">
        <v>-956477</v>
      </c>
      <c r="P26" s="273">
        <f>SUM(O21:O26)</f>
        <v>-1984193.5299999998</v>
      </c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s="293" customFormat="1" ht="13.5" customHeight="1" x14ac:dyDescent="0.25">
      <c r="A27" s="32" t="s">
        <v>324</v>
      </c>
      <c r="B27" s="351">
        <f>+Stratland!$D$41</f>
        <v>42574.03</v>
      </c>
      <c r="C27" s="275">
        <f>+B27/$I$4</f>
        <v>19710.199074074073</v>
      </c>
      <c r="D27" s="369">
        <f>+EOG!A47</f>
        <v>37268</v>
      </c>
      <c r="E27" s="32" t="s">
        <v>85</v>
      </c>
      <c r="F27" s="32"/>
      <c r="G27" s="32" t="s">
        <v>102</v>
      </c>
      <c r="H27" s="32"/>
      <c r="I27" s="204"/>
      <c r="J27" s="204"/>
      <c r="K27" s="204"/>
      <c r="L27" s="204"/>
      <c r="M27" s="204" t="s">
        <v>243</v>
      </c>
      <c r="N27" s="477">
        <v>24268</v>
      </c>
      <c r="O27" s="273">
        <v>1481856.66</v>
      </c>
      <c r="P27" s="273">
        <f>+O27</f>
        <v>1481856.66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293" customFormat="1" ht="13.5" customHeight="1" x14ac:dyDescent="0.25">
      <c r="A28" s="248" t="s">
        <v>110</v>
      </c>
      <c r="B28" s="351">
        <f>+C28*$I$4</f>
        <v>37987.920000000006</v>
      </c>
      <c r="C28" s="275">
        <f>+CIG!D42</f>
        <v>17587</v>
      </c>
      <c r="D28" s="370">
        <f>+CIG!A42</f>
        <v>37268</v>
      </c>
      <c r="E28" s="204" t="s">
        <v>84</v>
      </c>
      <c r="F28" s="32" t="s">
        <v>154</v>
      </c>
      <c r="G28" s="32" t="s">
        <v>113</v>
      </c>
      <c r="H28" s="32"/>
      <c r="I28" s="204"/>
      <c r="J28" s="204"/>
      <c r="K28" s="204"/>
      <c r="L28" s="204"/>
      <c r="M28" s="204"/>
      <c r="N28" s="477"/>
      <c r="O28" s="273"/>
      <c r="P28" s="273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293" customFormat="1" ht="13.5" customHeight="1" x14ac:dyDescent="0.25">
      <c r="A29" s="248" t="s">
        <v>303</v>
      </c>
      <c r="B29" s="486">
        <f>+'WTG inc'!N43</f>
        <v>36963.21</v>
      </c>
      <c r="C29" s="275">
        <f>+B29/$I$4</f>
        <v>17112.597222222219</v>
      </c>
      <c r="D29" s="370">
        <f>+'WTG inc'!A43</f>
        <v>37268</v>
      </c>
      <c r="E29" s="32" t="s">
        <v>85</v>
      </c>
      <c r="F29" s="32" t="s">
        <v>153</v>
      </c>
      <c r="G29" s="32" t="s">
        <v>115</v>
      </c>
      <c r="H29" s="204"/>
      <c r="I29" s="204"/>
      <c r="J29" s="204"/>
      <c r="K29" s="204"/>
      <c r="L29" s="204"/>
      <c r="M29" s="204"/>
      <c r="N29" s="477"/>
      <c r="O29" s="273"/>
      <c r="P29" s="27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ht="13.5" customHeight="1" x14ac:dyDescent="0.25">
      <c r="A30" s="514" t="s">
        <v>109</v>
      </c>
      <c r="B30" s="486">
        <f>+Continental!F43</f>
        <v>34694</v>
      </c>
      <c r="C30" s="206">
        <f>+B30/$I$4</f>
        <v>16062.037037037036</v>
      </c>
      <c r="D30" s="369">
        <f>+Continental!A43</f>
        <v>37268</v>
      </c>
      <c r="E30" s="204" t="s">
        <v>85</v>
      </c>
      <c r="F30" s="204" t="s">
        <v>154</v>
      </c>
      <c r="G30" s="204" t="s">
        <v>115</v>
      </c>
      <c r="H30" s="204"/>
      <c r="I30" s="204"/>
      <c r="J30" s="32"/>
      <c r="K30" s="32"/>
      <c r="L30" s="32"/>
      <c r="M30" s="32" t="s">
        <v>244</v>
      </c>
      <c r="N30" s="385">
        <v>26357</v>
      </c>
      <c r="O30" s="70">
        <v>44144.84</v>
      </c>
      <c r="P30" s="32" t="s">
        <v>248</v>
      </c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ht="15" customHeight="1" x14ac:dyDescent="0.25">
      <c r="A31" s="514" t="s">
        <v>71</v>
      </c>
      <c r="B31" s="352">
        <f>+transcol!$D$43</f>
        <v>29206.760000000002</v>
      </c>
      <c r="C31" s="353">
        <f>+B31/$I$4</f>
        <v>13521.648148148148</v>
      </c>
      <c r="D31" s="369">
        <f>+transcol!A43</f>
        <v>37268</v>
      </c>
      <c r="E31" s="204" t="s">
        <v>85</v>
      </c>
      <c r="F31" s="204" t="s">
        <v>153</v>
      </c>
      <c r="G31" s="204" t="s">
        <v>115</v>
      </c>
      <c r="H31" s="32"/>
      <c r="I31" s="32"/>
      <c r="J31" s="32"/>
      <c r="K31" s="32"/>
      <c r="L31" s="32"/>
      <c r="M31" s="32"/>
      <c r="N31" s="385"/>
      <c r="O31" s="70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s="293" customFormat="1" ht="12.9" customHeight="1" x14ac:dyDescent="0.25">
      <c r="A32" s="248" t="s">
        <v>114</v>
      </c>
      <c r="B32" s="486">
        <f>+C32*$I$4</f>
        <v>27339.120000000003</v>
      </c>
      <c r="C32" s="206">
        <f>+'PG&amp;E'!D40</f>
        <v>12657</v>
      </c>
      <c r="D32" s="370">
        <f>+'PG&amp;E'!A40</f>
        <v>37268</v>
      </c>
      <c r="E32" s="32" t="s">
        <v>84</v>
      </c>
      <c r="F32" s="32" t="s">
        <v>154</v>
      </c>
      <c r="G32" s="32" t="s">
        <v>102</v>
      </c>
      <c r="H32" s="32"/>
      <c r="I32" s="204"/>
      <c r="J32" s="204"/>
      <c r="K32" s="204"/>
      <c r="L32" s="204"/>
      <c r="M32" s="204"/>
      <c r="N32" s="477"/>
      <c r="O32" s="273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</row>
    <row r="33" spans="1:33" ht="13.5" customHeight="1" x14ac:dyDescent="0.25">
      <c r="A33" s="248" t="s">
        <v>131</v>
      </c>
      <c r="B33" s="351">
        <f>+SidR!D41</f>
        <v>13858.330000000002</v>
      </c>
      <c r="C33" s="275">
        <f>+B33/$I$5</f>
        <v>6357.0321100917436</v>
      </c>
      <c r="D33" s="370">
        <f>+SidR!A41</f>
        <v>37268</v>
      </c>
      <c r="E33" s="32" t="s">
        <v>85</v>
      </c>
      <c r="F33" s="32" t="s">
        <v>152</v>
      </c>
      <c r="G33" s="32" t="s">
        <v>102</v>
      </c>
      <c r="H33" s="32"/>
      <c r="I33" s="32"/>
      <c r="J33" s="32"/>
      <c r="K33" s="32"/>
      <c r="L33" s="32"/>
      <c r="M33" s="32"/>
      <c r="N33" s="385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s="293" customFormat="1" ht="13.5" customHeight="1" x14ac:dyDescent="0.25">
      <c r="A34" s="248" t="s">
        <v>315</v>
      </c>
      <c r="B34" s="505">
        <f>+C34*$I$3</f>
        <v>8275.0499999999993</v>
      </c>
      <c r="C34" s="71">
        <f>+Amoco!D40</f>
        <v>3885</v>
      </c>
      <c r="D34" s="370">
        <f>+Amoco!A40</f>
        <v>37268</v>
      </c>
      <c r="E34" s="32" t="s">
        <v>84</v>
      </c>
      <c r="F34" s="32" t="s">
        <v>153</v>
      </c>
      <c r="G34" s="32" t="s">
        <v>115</v>
      </c>
      <c r="H34" s="32"/>
      <c r="I34" s="204"/>
      <c r="J34" s="204"/>
      <c r="K34" s="204"/>
      <c r="L34" s="204"/>
      <c r="M34" s="204"/>
      <c r="N34" s="477"/>
      <c r="O34" s="273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</row>
    <row r="35" spans="1:33" ht="18" customHeight="1" x14ac:dyDescent="0.25">
      <c r="A35" s="32" t="s">
        <v>96</v>
      </c>
      <c r="B35" s="47">
        <f>SUM(B8:B34)</f>
        <v>6972386.3036000002</v>
      </c>
      <c r="C35" s="69">
        <f>SUM(C8:C34)</f>
        <v>3213340.9602395501</v>
      </c>
      <c r="D35" s="203"/>
      <c r="E35" s="32"/>
      <c r="F35" s="32"/>
      <c r="G35" s="32"/>
      <c r="H35" s="32"/>
      <c r="I35" s="32"/>
      <c r="J35" s="32"/>
      <c r="K35" s="32"/>
      <c r="L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ht="15" customHeight="1" x14ac:dyDescent="0.25">
      <c r="A36" s="32"/>
      <c r="B36" s="47"/>
      <c r="C36" s="69"/>
      <c r="D36" s="203"/>
      <c r="E36" s="32"/>
      <c r="F36" s="356"/>
      <c r="G36" s="356"/>
      <c r="H36" s="32"/>
      <c r="I36" s="32"/>
      <c r="J36" s="32"/>
      <c r="K36" s="32"/>
      <c r="L36" s="32"/>
      <c r="M36" s="32"/>
      <c r="N36" s="385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5" customHeight="1" x14ac:dyDescent="0.25">
      <c r="A37" s="338" t="s">
        <v>89</v>
      </c>
      <c r="B37" s="339" t="s">
        <v>16</v>
      </c>
      <c r="C37" s="340" t="s">
        <v>0</v>
      </c>
      <c r="D37" s="347" t="s">
        <v>146</v>
      </c>
      <c r="E37" s="338" t="s">
        <v>90</v>
      </c>
      <c r="F37" s="341" t="s">
        <v>101</v>
      </c>
      <c r="G37" s="341" t="s">
        <v>101</v>
      </c>
      <c r="H37" s="338" t="s">
        <v>98</v>
      </c>
      <c r="I37" s="32"/>
      <c r="J37" s="32"/>
      <c r="K37" s="32"/>
      <c r="L37" s="32"/>
      <c r="M37" s="32"/>
      <c r="N37" s="385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5" customHeight="1" x14ac:dyDescent="0.25">
      <c r="A38" s="514" t="s">
        <v>249</v>
      </c>
      <c r="B38" s="487">
        <f>+DEFS!$C$40+DEFS!$E$40+DEFS!$F$44+DEFS!$F$45+DEFS!$F$46+DEFS!$F$47+DEFS!$F$48</f>
        <v>-2784383.2</v>
      </c>
      <c r="C38" s="353">
        <f>+B38/$I$5</f>
        <v>-1277240</v>
      </c>
      <c r="D38" s="369">
        <f>+DEFS!A40</f>
        <v>37268</v>
      </c>
      <c r="E38" s="204" t="s">
        <v>85</v>
      </c>
      <c r="F38" s="32" t="s">
        <v>153</v>
      </c>
      <c r="G38" s="32" t="s">
        <v>100</v>
      </c>
      <c r="H38" s="32" t="s">
        <v>313</v>
      </c>
      <c r="I38" s="32"/>
      <c r="J38" s="32"/>
      <c r="K38" s="32"/>
      <c r="L38" s="32"/>
      <c r="M38" s="32"/>
      <c r="N38" s="385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2.9" customHeight="1" x14ac:dyDescent="0.25">
      <c r="A39" s="514" t="s">
        <v>135</v>
      </c>
      <c r="B39" s="486">
        <f>+Citizens!D18</f>
        <v>-552650.79</v>
      </c>
      <c r="C39" s="206">
        <f>+B39/$I$4</f>
        <v>-255856.84722222222</v>
      </c>
      <c r="D39" s="369">
        <f>+Citizens!A18</f>
        <v>37268</v>
      </c>
      <c r="E39" s="204" t="s">
        <v>85</v>
      </c>
      <c r="F39" s="204" t="s">
        <v>328</v>
      </c>
      <c r="G39" s="204" t="s">
        <v>99</v>
      </c>
      <c r="H39" s="357"/>
      <c r="I39" s="32"/>
      <c r="J39" s="32"/>
      <c r="K39" s="32"/>
      <c r="L39" s="32"/>
      <c r="M39" s="32"/>
      <c r="N39" s="385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2.9" customHeight="1" x14ac:dyDescent="0.25">
      <c r="A40" s="248" t="s">
        <v>133</v>
      </c>
      <c r="B40" s="486">
        <f>+'NS Steel'!D41</f>
        <v>-329226.2</v>
      </c>
      <c r="C40" s="206">
        <f>+B40/$I$4</f>
        <v>-152419.53703703702</v>
      </c>
      <c r="D40" s="370">
        <f>+'NS Steel'!A41</f>
        <v>37268</v>
      </c>
      <c r="E40" s="32" t="s">
        <v>85</v>
      </c>
      <c r="F40" s="32" t="s">
        <v>154</v>
      </c>
      <c r="G40" s="32" t="s">
        <v>100</v>
      </c>
      <c r="H40" s="357"/>
      <c r="I40" s="32"/>
      <c r="J40" s="32"/>
      <c r="K40" s="32"/>
      <c r="L40" s="32"/>
      <c r="M40" s="32"/>
      <c r="N40" s="385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2.9" customHeight="1" x14ac:dyDescent="0.25">
      <c r="A41" s="514" t="s">
        <v>261</v>
      </c>
      <c r="B41" s="486">
        <f>+MiVida_Rich!D41</f>
        <v>-203736.06</v>
      </c>
      <c r="C41" s="206">
        <f>+B41/$I$5</f>
        <v>-93456.908256880721</v>
      </c>
      <c r="D41" s="369">
        <f>+MiVida_Rich!A41</f>
        <v>37256</v>
      </c>
      <c r="E41" s="204" t="s">
        <v>85</v>
      </c>
      <c r="F41" s="204" t="s">
        <v>152</v>
      </c>
      <c r="G41" s="204" t="s">
        <v>102</v>
      </c>
      <c r="H41" s="357"/>
      <c r="I41" s="32"/>
      <c r="J41" s="32"/>
      <c r="K41" s="32"/>
      <c r="L41" s="32"/>
      <c r="M41" s="32"/>
      <c r="N41" s="385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" customHeight="1" x14ac:dyDescent="0.25">
      <c r="A42" s="515" t="s">
        <v>79</v>
      </c>
      <c r="B42" s="518">
        <f>+Agave!$D$24</f>
        <v>-122461.28</v>
      </c>
      <c r="C42" s="469">
        <f>+B42/$I$4</f>
        <v>-56695.037037037029</v>
      </c>
      <c r="D42" s="468">
        <f>+Agave!A24</f>
        <v>37268</v>
      </c>
      <c r="E42" s="448" t="s">
        <v>85</v>
      </c>
      <c r="F42" s="448" t="s">
        <v>328</v>
      </c>
      <c r="G42" s="448" t="s">
        <v>102</v>
      </c>
      <c r="H42" s="448"/>
      <c r="I42" s="32"/>
      <c r="J42" s="32"/>
      <c r="K42" s="32"/>
      <c r="L42" s="32"/>
      <c r="M42" s="32"/>
      <c r="N42" s="385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s="246" customFormat="1" ht="13.5" customHeight="1" x14ac:dyDescent="0.25">
      <c r="A43" s="248" t="s">
        <v>216</v>
      </c>
      <c r="B43" s="486">
        <f>+crosstex!F41</f>
        <v>-120763.56</v>
      </c>
      <c r="C43" s="206">
        <f>+B43/$I$4</f>
        <v>-55909.055555555547</v>
      </c>
      <c r="D43" s="370">
        <f>+crosstex!A41</f>
        <v>37268</v>
      </c>
      <c r="E43" s="32" t="s">
        <v>85</v>
      </c>
      <c r="F43" s="32" t="s">
        <v>152</v>
      </c>
      <c r="G43" s="32" t="s">
        <v>100</v>
      </c>
      <c r="H43" s="357"/>
      <c r="I43" s="249"/>
      <c r="J43" s="249"/>
      <c r="K43" s="249"/>
      <c r="L43" s="249"/>
      <c r="M43" s="32"/>
      <c r="N43" s="477"/>
      <c r="O43" s="273"/>
      <c r="P43" s="249"/>
      <c r="Q43" s="249"/>
      <c r="R43" s="249"/>
      <c r="S43" s="249"/>
      <c r="T43" s="249"/>
      <c r="U43" s="249"/>
      <c r="V43" s="249"/>
      <c r="W43" s="249"/>
      <c r="X43" s="249"/>
      <c r="Y43" s="249"/>
      <c r="Z43" s="249"/>
      <c r="AA43" s="249"/>
      <c r="AB43" s="249"/>
      <c r="AC43" s="249"/>
      <c r="AD43" s="249"/>
      <c r="AE43" s="249"/>
      <c r="AF43" s="249"/>
      <c r="AG43" s="249"/>
    </row>
    <row r="44" spans="1:33" s="293" customFormat="1" ht="13.5" customHeight="1" x14ac:dyDescent="0.25">
      <c r="A44" s="248" t="s">
        <v>147</v>
      </c>
      <c r="B44" s="351">
        <f>+PGETX!$H$37</f>
        <v>-56665.279999999999</v>
      </c>
      <c r="C44" s="275">
        <f>+B44/$I$4</f>
        <v>-26233.925925925923</v>
      </c>
      <c r="D44" s="370">
        <f>+PGETX!E37</f>
        <v>37268</v>
      </c>
      <c r="E44" s="32" t="s">
        <v>85</v>
      </c>
      <c r="F44" s="32" t="s">
        <v>329</v>
      </c>
      <c r="G44" s="32" t="s">
        <v>102</v>
      </c>
      <c r="H44" s="32"/>
      <c r="I44" s="204"/>
      <c r="J44" s="204"/>
      <c r="K44" s="204">
        <f>135710*1.98</f>
        <v>268705.8</v>
      </c>
      <c r="L44" s="204"/>
      <c r="M44" s="204"/>
      <c r="N44" s="477"/>
      <c r="O44" s="273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</row>
    <row r="45" spans="1:33" ht="13.5" customHeight="1" x14ac:dyDescent="0.25">
      <c r="A45" s="248" t="s">
        <v>1</v>
      </c>
      <c r="B45" s="486">
        <f>+C45*$I$3</f>
        <v>-47324.34</v>
      </c>
      <c r="C45" s="206">
        <f>+NW!$F$41</f>
        <v>-22218</v>
      </c>
      <c r="D45" s="369">
        <f>+NW!B41</f>
        <v>37268</v>
      </c>
      <c r="E45" s="32" t="s">
        <v>84</v>
      </c>
      <c r="F45" s="32" t="s">
        <v>153</v>
      </c>
      <c r="G45" s="32" t="s">
        <v>115</v>
      </c>
      <c r="H45" s="357"/>
      <c r="I45" s="32"/>
      <c r="J45" s="32"/>
      <c r="K45" s="32"/>
      <c r="L45" s="32"/>
      <c r="M45" s="32"/>
      <c r="N45" s="385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3.5" customHeight="1" x14ac:dyDescent="0.25">
      <c r="A46" s="514" t="s">
        <v>142</v>
      </c>
      <c r="B46" s="352">
        <f>+C46*$I$4</f>
        <v>-35581.68</v>
      </c>
      <c r="C46" s="353">
        <f>+PEPL!D41</f>
        <v>-16473</v>
      </c>
      <c r="D46" s="369">
        <f>+PEPL!A41</f>
        <v>37268</v>
      </c>
      <c r="E46" s="204" t="s">
        <v>84</v>
      </c>
      <c r="F46" s="204" t="s">
        <v>328</v>
      </c>
      <c r="G46" s="204" t="s">
        <v>100</v>
      </c>
      <c r="H46" s="32"/>
      <c r="I46" s="32"/>
      <c r="J46" s="32"/>
      <c r="K46" s="32"/>
      <c r="L46" s="32"/>
      <c r="M46" s="32"/>
      <c r="N46" s="385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293" customFormat="1" ht="13.5" customHeight="1" x14ac:dyDescent="0.25">
      <c r="A47" s="514" t="s">
        <v>204</v>
      </c>
      <c r="B47" s="487">
        <f>+WTGmktg!J43</f>
        <v>-31825.13</v>
      </c>
      <c r="C47" s="206">
        <f>+B47/$I$4</f>
        <v>-14733.856481481482</v>
      </c>
      <c r="D47" s="369">
        <f>+WTGmktg!A43</f>
        <v>37268</v>
      </c>
      <c r="E47" s="32" t="s">
        <v>85</v>
      </c>
      <c r="F47" s="204" t="s">
        <v>153</v>
      </c>
      <c r="G47" s="204" t="s">
        <v>115</v>
      </c>
      <c r="H47" s="204"/>
      <c r="I47" s="204"/>
      <c r="J47" s="204"/>
      <c r="K47" s="204"/>
      <c r="L47" s="204"/>
      <c r="M47" s="204"/>
      <c r="N47" s="477"/>
      <c r="O47" s="273"/>
      <c r="P47" s="273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</row>
    <row r="48" spans="1:33" ht="13.5" customHeight="1" x14ac:dyDescent="0.25">
      <c r="A48" s="248" t="s">
        <v>6</v>
      </c>
      <c r="B48" s="486">
        <f>+Oasis!$D$40</f>
        <v>-31307.750000000004</v>
      </c>
      <c r="C48" s="206">
        <f>+B48/$I$5</f>
        <v>-14361.353211009175</v>
      </c>
      <c r="D48" s="370">
        <f>+Oasis!A40</f>
        <v>37268</v>
      </c>
      <c r="E48" s="32" t="s">
        <v>85</v>
      </c>
      <c r="F48" s="32" t="s">
        <v>154</v>
      </c>
      <c r="G48" s="32" t="s">
        <v>102</v>
      </c>
      <c r="H48" s="32"/>
      <c r="I48" s="32"/>
      <c r="J48" s="32"/>
      <c r="K48" s="32"/>
      <c r="L48" s="32"/>
      <c r="M48" s="32"/>
      <c r="N48" s="385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293" customFormat="1" ht="13.5" customHeight="1" x14ac:dyDescent="0.25">
      <c r="A49" s="514" t="s">
        <v>87</v>
      </c>
      <c r="B49" s="351">
        <f>+NNG!$D$24</f>
        <v>-23479.020000000004</v>
      </c>
      <c r="C49" s="275">
        <f>+B49/$I$4</f>
        <v>-10869.916666666668</v>
      </c>
      <c r="D49" s="369">
        <f>+NNG!A24</f>
        <v>37268</v>
      </c>
      <c r="E49" s="204" t="s">
        <v>85</v>
      </c>
      <c r="F49" s="204" t="s">
        <v>327</v>
      </c>
      <c r="G49" s="204" t="s">
        <v>100</v>
      </c>
      <c r="H49" s="204"/>
      <c r="I49" s="204"/>
      <c r="J49" s="204"/>
      <c r="K49" s="204"/>
      <c r="L49" s="204"/>
      <c r="M49" s="204" t="s">
        <v>245</v>
      </c>
      <c r="N49" s="477">
        <v>24361</v>
      </c>
      <c r="O49" s="273">
        <v>811179.69</v>
      </c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ht="13.5" customHeight="1" x14ac:dyDescent="0.25">
      <c r="A50" s="248" t="s">
        <v>298</v>
      </c>
      <c r="B50" s="351">
        <f>+SWGasTrans!$D$41</f>
        <v>-22201.89</v>
      </c>
      <c r="C50" s="275">
        <f>+B50/$I$4</f>
        <v>-10278.652777777777</v>
      </c>
      <c r="D50" s="369">
        <f>+SWGasTrans!A41</f>
        <v>37268</v>
      </c>
      <c r="E50" s="32" t="s">
        <v>85</v>
      </c>
      <c r="F50" s="32" t="s">
        <v>153</v>
      </c>
      <c r="G50" s="32" t="s">
        <v>99</v>
      </c>
      <c r="H50" s="32"/>
      <c r="I50" s="32"/>
      <c r="J50" s="32"/>
      <c r="K50" s="32"/>
      <c r="L50" s="32"/>
      <c r="M50" s="32" t="s">
        <v>244</v>
      </c>
      <c r="N50" s="385">
        <v>22051</v>
      </c>
      <c r="O50" s="70">
        <v>-527215</v>
      </c>
      <c r="P50" s="32" t="s">
        <v>247</v>
      </c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s="293" customFormat="1" ht="13.5" customHeight="1" x14ac:dyDescent="0.25">
      <c r="A51" s="514" t="s">
        <v>33</v>
      </c>
      <c r="B51" s="486">
        <f>+'El Paso'!C39*summary!I4+'El Paso'!E39*summary!I3</f>
        <v>-7043.4899999999907</v>
      </c>
      <c r="C51" s="275">
        <f>+'El Paso'!H39</f>
        <v>-4212</v>
      </c>
      <c r="D51" s="369">
        <f>+'El Paso'!A39</f>
        <v>37268</v>
      </c>
      <c r="E51" s="204" t="s">
        <v>84</v>
      </c>
      <c r="F51" s="204" t="s">
        <v>154</v>
      </c>
      <c r="G51" s="204" t="s">
        <v>100</v>
      </c>
      <c r="H51" s="204"/>
      <c r="I51" s="204"/>
      <c r="J51" s="204"/>
      <c r="K51" s="204"/>
      <c r="L51" s="204"/>
      <c r="M51" s="204"/>
      <c r="N51" s="477"/>
      <c r="O51" s="273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293" customFormat="1" ht="13.5" customHeight="1" x14ac:dyDescent="0.25">
      <c r="A52" s="514" t="s">
        <v>139</v>
      </c>
      <c r="B52" s="486">
        <f>+'Citizens-Griffith'!D41</f>
        <v>-6349.8000000000029</v>
      </c>
      <c r="C52" s="275">
        <f>+B52/$I$4</f>
        <v>-2939.7222222222235</v>
      </c>
      <c r="D52" s="369">
        <f>+'Citizens-Griffith'!A41</f>
        <v>37268</v>
      </c>
      <c r="E52" s="204" t="s">
        <v>85</v>
      </c>
      <c r="F52" s="204" t="s">
        <v>328</v>
      </c>
      <c r="G52" s="204" t="s">
        <v>99</v>
      </c>
      <c r="H52" s="204"/>
      <c r="I52" s="204"/>
      <c r="J52" s="204"/>
      <c r="K52" s="204"/>
      <c r="L52" s="204"/>
      <c r="M52" s="32" t="s">
        <v>245</v>
      </c>
      <c r="N52" s="385">
        <v>21665</v>
      </c>
      <c r="O52" s="70">
        <v>73449</v>
      </c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s="293" customFormat="1" ht="13.5" customHeight="1" x14ac:dyDescent="0.25">
      <c r="A53" s="514" t="s">
        <v>95</v>
      </c>
      <c r="B53" s="354">
        <f>+burlington!D42</f>
        <v>-4083.1199999999953</v>
      </c>
      <c r="C53" s="71">
        <f>+B53/$I$3</f>
        <v>-1916.9577464788711</v>
      </c>
      <c r="D53" s="369">
        <f>+burlington!A42</f>
        <v>37268</v>
      </c>
      <c r="E53" s="204" t="s">
        <v>85</v>
      </c>
      <c r="F53" s="32" t="s">
        <v>154</v>
      </c>
      <c r="G53" s="32" t="s">
        <v>113</v>
      </c>
      <c r="H53" s="32"/>
      <c r="I53" s="204"/>
      <c r="J53" s="204"/>
      <c r="K53" s="204"/>
      <c r="L53" s="204"/>
      <c r="M53" s="32"/>
      <c r="N53" s="385"/>
      <c r="O53" s="70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4"/>
      <c r="AF53" s="204"/>
      <c r="AG53" s="204"/>
    </row>
    <row r="54" spans="1:33" ht="15" customHeight="1" x14ac:dyDescent="0.25">
      <c r="A54" s="32" t="s">
        <v>97</v>
      </c>
      <c r="B54" s="351">
        <f>SUM(B38:B53)</f>
        <v>-4379082.5899999989</v>
      </c>
      <c r="C54" s="206">
        <f>SUM(C38:C53)</f>
        <v>-2015814.7701402949</v>
      </c>
      <c r="D54" s="358"/>
      <c r="E54" s="32"/>
      <c r="F54" s="32"/>
      <c r="G54" s="32"/>
      <c r="H54" s="32"/>
      <c r="I54" s="32"/>
      <c r="J54" s="32"/>
      <c r="K54" s="32"/>
      <c r="L54" s="32"/>
      <c r="M54" s="32"/>
      <c r="N54" s="385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2.9" customHeight="1" x14ac:dyDescent="0.25">
      <c r="A55" s="32"/>
      <c r="B55" s="354"/>
      <c r="C55" s="71"/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85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3.8" thickBot="1" x14ac:dyDescent="0.3">
      <c r="A56" s="2" t="s">
        <v>91</v>
      </c>
      <c r="B56" s="359">
        <f>+B54+B35</f>
        <v>2593303.7136000013</v>
      </c>
      <c r="C56" s="360">
        <f>+C54+C35</f>
        <v>1197526.1900992552</v>
      </c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5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8" thickTop="1" x14ac:dyDescent="0.25">
      <c r="A57" s="32"/>
      <c r="B57" s="47"/>
      <c r="C57" s="69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5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5">
      <c r="A58" s="2" t="s">
        <v>92</v>
      </c>
      <c r="B58" s="47"/>
      <c r="C58" s="294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5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5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5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5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5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5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B64" s="47"/>
      <c r="C64" s="14"/>
      <c r="D64" s="203"/>
      <c r="E64" s="136"/>
      <c r="F64" s="32"/>
      <c r="G64" s="32"/>
      <c r="H64" s="32"/>
      <c r="I64" s="32"/>
      <c r="J64" s="32"/>
      <c r="K64" s="32"/>
      <c r="L64" s="32"/>
      <c r="M64" s="32"/>
      <c r="N64" s="385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B65" s="47"/>
      <c r="C65" s="69"/>
      <c r="D65" s="203"/>
      <c r="E65" s="32"/>
      <c r="F65" s="32"/>
      <c r="G65" s="32"/>
      <c r="H65" s="32"/>
      <c r="I65" s="32"/>
      <c r="J65" s="32"/>
      <c r="K65" s="32"/>
      <c r="L65" s="32"/>
      <c r="M65" s="32"/>
      <c r="N65" s="385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5">
      <c r="A66" s="32"/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5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5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5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5">
      <c r="I68" s="32"/>
      <c r="J68" s="32"/>
      <c r="K68" s="32"/>
      <c r="L68" s="32"/>
      <c r="M68" s="32"/>
      <c r="N68" s="385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5">
      <c r="I69" s="32"/>
      <c r="J69" s="32"/>
      <c r="K69" s="32"/>
      <c r="L69" s="32"/>
      <c r="M69" s="32"/>
      <c r="N69" s="385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5">
      <c r="I70" s="32"/>
      <c r="J70" s="32"/>
      <c r="K70" s="32"/>
      <c r="L70" s="32"/>
      <c r="M70" s="32"/>
      <c r="N70" s="385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5">
      <c r="I71" s="32"/>
      <c r="J71" s="32"/>
      <c r="K71" s="32"/>
      <c r="L71" s="32"/>
      <c r="M71" s="32"/>
      <c r="N71" s="385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5">
      <c r="I72" s="32"/>
      <c r="J72" s="32"/>
      <c r="K72" s="32"/>
      <c r="L72" s="32"/>
      <c r="M72" s="32"/>
      <c r="N72" s="385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5">
      <c r="I73" s="32"/>
      <c r="J73" s="32"/>
      <c r="K73" s="32"/>
      <c r="L73" s="32"/>
      <c r="M73" s="32"/>
      <c r="N73" s="385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5">
      <c r="I74" s="32"/>
      <c r="J74" s="32"/>
      <c r="K74" s="32"/>
      <c r="L74" s="32"/>
      <c r="M74" s="32"/>
      <c r="N74" s="385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5">
      <c r="I75" s="32"/>
      <c r="J75" s="32"/>
      <c r="K75" s="32"/>
      <c r="L75" s="32"/>
      <c r="M75" s="32"/>
      <c r="N75" s="385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5">
      <c r="I76" s="32"/>
      <c r="J76" s="32"/>
      <c r="K76" s="32"/>
      <c r="L76" s="32"/>
      <c r="M76" s="32"/>
      <c r="N76" s="385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5">
      <c r="I77" s="32"/>
      <c r="J77" s="32"/>
      <c r="K77" s="32"/>
      <c r="L77" s="32"/>
      <c r="M77" s="32"/>
      <c r="N77" s="385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5">
      <c r="I78" s="32"/>
      <c r="J78" s="32"/>
      <c r="K78" s="32"/>
      <c r="L78" s="32"/>
      <c r="M78" s="32"/>
      <c r="N78" s="385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5">
      <c r="I79" s="32"/>
      <c r="J79" s="32"/>
      <c r="K79" s="32"/>
      <c r="L79" s="32"/>
      <c r="M79" s="32"/>
      <c r="N79" s="385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5">
      <c r="I80" s="32"/>
      <c r="J80" s="32"/>
      <c r="K80" s="32"/>
      <c r="L80" s="32"/>
      <c r="M80" s="32"/>
      <c r="N80" s="385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5">
      <c r="I81" s="32"/>
      <c r="J81" s="32"/>
      <c r="K81" s="32"/>
      <c r="L81" s="32"/>
      <c r="M81" s="32"/>
      <c r="N81" s="385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5">
      <c r="I82" s="32"/>
      <c r="J82" s="32"/>
      <c r="K82" s="32"/>
      <c r="L82" s="32"/>
      <c r="M82" s="32"/>
      <c r="N82" s="385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5">
      <c r="I83" s="32"/>
      <c r="J83" s="32"/>
      <c r="K83" s="32"/>
      <c r="L83" s="32"/>
      <c r="M83" s="32"/>
      <c r="N83" s="385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5">
      <c r="I84" s="32"/>
      <c r="J84" s="32"/>
      <c r="K84" s="32"/>
      <c r="L84" s="32"/>
      <c r="M84" s="32"/>
      <c r="N84" s="385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5">
      <c r="I85" s="32"/>
      <c r="J85" s="32"/>
      <c r="K85" s="32"/>
      <c r="L85" s="32"/>
      <c r="M85" s="32"/>
      <c r="N85" s="385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5">
      <c r="I86" s="32"/>
      <c r="J86" s="32"/>
      <c r="K86" s="32"/>
      <c r="L86" s="32"/>
      <c r="M86" s="32"/>
      <c r="N86" s="385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5">
      <c r="I87" s="32"/>
      <c r="J87" s="32"/>
      <c r="K87" s="32"/>
      <c r="L87" s="32"/>
      <c r="M87" s="32"/>
      <c r="N87" s="385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5">
      <c r="I88" s="32"/>
      <c r="J88" s="32"/>
      <c r="K88" s="32"/>
      <c r="L88" s="32"/>
      <c r="M88" s="32"/>
      <c r="N88" s="385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5">
      <c r="I89" s="32"/>
      <c r="J89" s="32"/>
      <c r="K89" s="32"/>
      <c r="L89" s="32"/>
      <c r="M89" s="32"/>
      <c r="N89" s="385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5">
      <c r="I90" s="32"/>
      <c r="J90" s="32"/>
      <c r="K90" s="32"/>
      <c r="L90" s="32"/>
      <c r="M90" s="32"/>
      <c r="N90" s="385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5">
      <c r="I91" s="32"/>
      <c r="J91" s="32"/>
      <c r="K91" s="32"/>
      <c r="L91" s="32"/>
      <c r="M91" s="32"/>
      <c r="N91" s="385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5">
      <c r="I92" s="32"/>
      <c r="J92" s="32"/>
      <c r="K92" s="32"/>
      <c r="L92" s="32"/>
      <c r="M92" s="32"/>
      <c r="N92" s="385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5">
      <c r="I93" s="32"/>
      <c r="J93" s="32"/>
      <c r="K93" s="32"/>
      <c r="L93" s="32"/>
      <c r="M93" s="32"/>
      <c r="N93" s="385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5">
      <c r="I94" s="32"/>
      <c r="J94" s="32"/>
      <c r="K94" s="32"/>
      <c r="L94" s="32"/>
      <c r="M94" s="32"/>
      <c r="N94" s="385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5">
      <c r="I95" s="32"/>
      <c r="J95" s="32"/>
      <c r="K95" s="32"/>
      <c r="L95" s="32"/>
      <c r="M95" s="32"/>
      <c r="N95" s="385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5">
      <c r="I96" s="32"/>
      <c r="J96" s="32"/>
      <c r="K96" s="32"/>
      <c r="L96" s="32"/>
      <c r="M96" s="32"/>
      <c r="N96" s="385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5">
      <c r="I97" s="32"/>
      <c r="J97" s="32"/>
      <c r="K97" s="32"/>
      <c r="L97" s="32"/>
      <c r="M97" s="32"/>
      <c r="N97" s="385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5">
      <c r="I98" s="32"/>
      <c r="J98" s="32"/>
      <c r="K98" s="32"/>
      <c r="L98" s="32"/>
      <c r="M98" s="32"/>
      <c r="N98" s="385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5">
      <c r="I99" s="32"/>
      <c r="J99" s="32"/>
      <c r="K99" s="32"/>
      <c r="L99" s="32"/>
      <c r="M99" s="32"/>
      <c r="N99" s="385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5">
      <c r="I100" s="32"/>
      <c r="J100" s="32"/>
      <c r="K100" s="32"/>
      <c r="L100" s="32"/>
      <c r="M100" s="32"/>
      <c r="N100" s="385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5">
      <c r="A101" s="2" t="s">
        <v>264</v>
      </c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85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5">
      <c r="A102" s="32" t="s">
        <v>262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5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5">
      <c r="A103" s="32" t="s">
        <v>263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5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5">
      <c r="A104" s="32"/>
      <c r="B104" s="361"/>
      <c r="C104" s="362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5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5">
      <c r="A105" s="2" t="s">
        <v>265</v>
      </c>
      <c r="B105" s="75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5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5">
      <c r="A106" s="32" t="s">
        <v>266</v>
      </c>
      <c r="B106" s="75">
        <v>16841.21</v>
      </c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5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5">
      <c r="A107" s="32" t="s">
        <v>268</v>
      </c>
      <c r="B107" s="75">
        <v>-8065.83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5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5">
      <c r="A108" s="32" t="s">
        <v>269</v>
      </c>
      <c r="B108" s="536">
        <v>-725.46</v>
      </c>
      <c r="C108" s="69"/>
      <c r="D108" s="363"/>
      <c r="E108" s="32"/>
      <c r="F108" s="32"/>
      <c r="G108" s="32"/>
      <c r="H108" s="32"/>
      <c r="I108" s="32"/>
      <c r="J108" s="32"/>
      <c r="K108" s="32"/>
      <c r="L108" s="32"/>
      <c r="M108" s="32"/>
      <c r="N108" s="385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5">
      <c r="A109" s="32" t="s">
        <v>276</v>
      </c>
      <c r="B109" s="533">
        <v>107948.28</v>
      </c>
      <c r="C109" s="294"/>
      <c r="D109" s="364"/>
      <c r="E109" s="32"/>
      <c r="F109" s="32"/>
      <c r="G109" s="32"/>
      <c r="H109" s="32"/>
      <c r="I109" s="32"/>
      <c r="J109" s="32"/>
      <c r="K109" s="32"/>
      <c r="L109" s="32"/>
      <c r="M109" s="32"/>
      <c r="N109" s="385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5">
      <c r="A110" s="32" t="s">
        <v>274</v>
      </c>
      <c r="B110" s="536">
        <v>-1777.19</v>
      </c>
      <c r="C110" s="294"/>
      <c r="D110" s="365"/>
      <c r="E110" s="32"/>
      <c r="F110" s="32"/>
      <c r="G110" s="32"/>
      <c r="H110" s="32"/>
      <c r="I110" s="32"/>
      <c r="J110" s="32"/>
      <c r="K110" s="32"/>
      <c r="L110" s="32"/>
      <c r="M110" s="32"/>
      <c r="N110" s="385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5">
      <c r="A111" s="32" t="s">
        <v>277</v>
      </c>
      <c r="B111" s="536">
        <v>2429.75</v>
      </c>
      <c r="C111" s="294"/>
      <c r="D111" s="366"/>
      <c r="E111" s="32"/>
      <c r="F111" s="32"/>
      <c r="G111" s="32"/>
      <c r="H111" s="32"/>
      <c r="I111" s="32"/>
      <c r="J111" s="32"/>
      <c r="K111" s="32"/>
      <c r="L111" s="32"/>
      <c r="M111" s="32"/>
      <c r="N111" s="385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5">
      <c r="A112" s="32" t="s">
        <v>281</v>
      </c>
      <c r="B112" s="536">
        <v>6695.6</v>
      </c>
      <c r="C112" s="502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85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5">
      <c r="A113" s="32" t="s">
        <v>284</v>
      </c>
      <c r="B113" s="536">
        <v>48174.22</v>
      </c>
      <c r="C113" s="502"/>
      <c r="D113" s="363"/>
      <c r="E113" s="32"/>
      <c r="F113" s="32"/>
      <c r="G113" s="32"/>
      <c r="H113" s="32"/>
      <c r="I113" s="32"/>
      <c r="J113" s="32"/>
      <c r="K113" s="32"/>
      <c r="L113" s="32"/>
      <c r="M113" s="32"/>
      <c r="N113" s="385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5">
      <c r="A114" s="32" t="s">
        <v>288</v>
      </c>
      <c r="B114" s="533">
        <v>-2165.34</v>
      </c>
      <c r="C114" s="502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85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5">
      <c r="A115" s="32" t="s">
        <v>292</v>
      </c>
      <c r="B115" s="533">
        <v>-17015.8</v>
      </c>
      <c r="C115" s="502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5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5">
      <c r="A116" s="32" t="s">
        <v>293</v>
      </c>
      <c r="B116" s="533">
        <v>8356.0499999999993</v>
      </c>
      <c r="C116" s="503"/>
      <c r="D116" s="363"/>
      <c r="E116" s="32"/>
      <c r="F116" s="32"/>
      <c r="G116" s="32"/>
      <c r="H116" s="32"/>
      <c r="I116" s="32"/>
      <c r="J116" s="32"/>
      <c r="K116" s="32"/>
      <c r="L116" s="32"/>
      <c r="M116" s="32"/>
      <c r="N116" s="385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5">
      <c r="A117" s="32" t="s">
        <v>295</v>
      </c>
      <c r="B117" s="549">
        <f>775*2.25</f>
        <v>1743.75</v>
      </c>
      <c r="C117" s="503"/>
      <c r="D117" s="363"/>
      <c r="E117" s="32"/>
      <c r="F117" s="32"/>
      <c r="G117" s="32"/>
      <c r="H117" s="32"/>
      <c r="I117" s="32"/>
      <c r="J117" s="32"/>
      <c r="K117" s="32"/>
      <c r="L117" s="32"/>
      <c r="M117" s="32"/>
      <c r="N117" s="385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5">
      <c r="A118" s="32" t="s">
        <v>299</v>
      </c>
      <c r="B118" s="533">
        <v>0</v>
      </c>
      <c r="C118" s="503"/>
      <c r="D118" s="363"/>
      <c r="E118" s="32"/>
      <c r="F118" s="32"/>
      <c r="G118" s="32"/>
      <c r="H118" s="32"/>
      <c r="I118" s="32"/>
      <c r="J118" s="32"/>
      <c r="K118" s="32"/>
      <c r="L118" s="32"/>
      <c r="M118" s="32"/>
      <c r="N118" s="385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5">
      <c r="A119" s="32" t="s">
        <v>291</v>
      </c>
      <c r="B119" s="15">
        <f>44144.84-58339.66</f>
        <v>-14194.820000000007</v>
      </c>
      <c r="C119" s="503">
        <v>26357</v>
      </c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85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5">
      <c r="A120" s="32" t="s">
        <v>291</v>
      </c>
      <c r="B120" s="15">
        <v>-51695.87</v>
      </c>
      <c r="C120" s="503">
        <v>20379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5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5">
      <c r="A121" s="32" t="s">
        <v>291</v>
      </c>
      <c r="B121" s="15">
        <v>61340.160000000003</v>
      </c>
      <c r="C121" s="503">
        <v>21544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5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5">
      <c r="A122" s="32" t="s">
        <v>319</v>
      </c>
      <c r="B122" s="533">
        <v>-2475.85</v>
      </c>
      <c r="C122" s="503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5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5">
      <c r="A123" s="32" t="s">
        <v>300</v>
      </c>
      <c r="B123" s="533">
        <v>2493.64</v>
      </c>
      <c r="C123" s="503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5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5">
      <c r="A124" s="32" t="s">
        <v>301</v>
      </c>
      <c r="B124" s="259">
        <v>8282.6</v>
      </c>
      <c r="C124" s="503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5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5">
      <c r="A125" s="32" t="s">
        <v>287</v>
      </c>
      <c r="B125" s="259">
        <v>-7228.77</v>
      </c>
      <c r="C125" s="502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5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5">
      <c r="A126" s="32" t="s">
        <v>286</v>
      </c>
      <c r="B126" s="15">
        <v>249009.74</v>
      </c>
      <c r="C126" s="502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5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5">
      <c r="A127" s="32" t="s">
        <v>280</v>
      </c>
      <c r="B127" s="533">
        <f>1974.11-1974.11</f>
        <v>0</v>
      </c>
      <c r="C127" s="502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5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5">
      <c r="A128" s="32" t="s">
        <v>267</v>
      </c>
      <c r="B128" s="536">
        <v>-35893</v>
      </c>
      <c r="C128" s="502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5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5">
      <c r="A129" s="32" t="s">
        <v>275</v>
      </c>
      <c r="B129" s="75">
        <v>27281.87</v>
      </c>
      <c r="C129" s="502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5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5">
      <c r="A130" s="32" t="s">
        <v>278</v>
      </c>
      <c r="B130" s="75">
        <v>-2614.58</v>
      </c>
      <c r="C130" s="502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5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5">
      <c r="A131" s="32" t="s">
        <v>279</v>
      </c>
      <c r="B131" s="75">
        <v>-177733.88</v>
      </c>
      <c r="C131" s="502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5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5">
      <c r="A132" s="32" t="s">
        <v>282</v>
      </c>
      <c r="B132" s="15">
        <v>3338.45</v>
      </c>
      <c r="C132" s="502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5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5">
      <c r="A133" s="32" t="s">
        <v>283</v>
      </c>
      <c r="B133" s="15">
        <v>15325.21</v>
      </c>
      <c r="C133" s="502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5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5">
      <c r="A134" s="32" t="s">
        <v>285</v>
      </c>
      <c r="B134" s="15">
        <v>-33878.81</v>
      </c>
      <c r="C134" s="502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5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5">
      <c r="A135" s="32" t="s">
        <v>289</v>
      </c>
      <c r="B135" s="15">
        <v>-726.96</v>
      </c>
      <c r="C135" s="502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5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5">
      <c r="A136" s="32" t="s">
        <v>290</v>
      </c>
      <c r="B136" s="47">
        <v>-4405.4799999999996</v>
      </c>
      <c r="C136" s="502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5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5">
      <c r="A137" s="32" t="s">
        <v>320</v>
      </c>
      <c r="B137" s="535">
        <v>4000.5</v>
      </c>
      <c r="C137" s="502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5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5">
      <c r="A138" s="32" t="s">
        <v>321</v>
      </c>
      <c r="B138" s="535">
        <v>-725.46</v>
      </c>
      <c r="C138" s="502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5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5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5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5">
      <c r="A140" s="32"/>
      <c r="B140" s="16">
        <f>SUM(B106:B139)</f>
        <v>201937.93000000005</v>
      </c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5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5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5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5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5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5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5">
      <c r="A144" s="32" t="s">
        <v>270</v>
      </c>
      <c r="B144" s="504" t="s">
        <v>272</v>
      </c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5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5">
      <c r="A145" s="32" t="s">
        <v>271</v>
      </c>
      <c r="B145" s="504" t="s">
        <v>273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5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5">
      <c r="A146" s="32" t="s">
        <v>325</v>
      </c>
      <c r="B146" s="47">
        <v>-3863.86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5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5">
      <c r="A147" s="32" t="s">
        <v>294</v>
      </c>
      <c r="B147" s="259">
        <v>17432.3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5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5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5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5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5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5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5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5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5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5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5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5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5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5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5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5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5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5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5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5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5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5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5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5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5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5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5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5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5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5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5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5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5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5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5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5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5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5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5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5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5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5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5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5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5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5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5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5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5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5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5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5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5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5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5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5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5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5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5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5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5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5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5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5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5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5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5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5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5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5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5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5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5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5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5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5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5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5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5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5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5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5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5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5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5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5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5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5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5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5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5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5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5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5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5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5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5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5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5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5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5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5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5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5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5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5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5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5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5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5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5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5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5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5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5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5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5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5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5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5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5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5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5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5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5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5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5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5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5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5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5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5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5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5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5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5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5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5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5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5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5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5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5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5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5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5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5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5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5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5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5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5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5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5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5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5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5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5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5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5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5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5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5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5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5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5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5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5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5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5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5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5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5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5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5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5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5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5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5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5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5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5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5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5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5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5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5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5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5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5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5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5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5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5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5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5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5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5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5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5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5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5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5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5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5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5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5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5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5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5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5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5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5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5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5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5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5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5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5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5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5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5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5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5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5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5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5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5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5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5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5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5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5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5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5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5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5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5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5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5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5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5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5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5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5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5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5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5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5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5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5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5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5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5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5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5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5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5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5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5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5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5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5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5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5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5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5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5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5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5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3" workbookViewId="0">
      <selection activeCell="A25" sqref="A25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8">
        <v>-276487</v>
      </c>
      <c r="C6" s="80"/>
      <c r="D6" s="80">
        <f t="shared" ref="D6:D14" si="0">+C6-B6</f>
        <v>276487</v>
      </c>
    </row>
    <row r="7" spans="1:4" x14ac:dyDescent="0.2">
      <c r="A7" s="32">
        <v>3531</v>
      </c>
      <c r="B7" s="312">
        <f>-326195-35441</f>
        <v>-361636</v>
      </c>
      <c r="C7" s="80">
        <v>-141365</v>
      </c>
      <c r="D7" s="80">
        <f t="shared" si="0"/>
        <v>220271</v>
      </c>
    </row>
    <row r="8" spans="1:4" x14ac:dyDescent="0.2">
      <c r="A8" s="32">
        <v>60667</v>
      </c>
      <c r="B8" s="312">
        <v>-108557</v>
      </c>
      <c r="C8" s="80">
        <v>-593943</v>
      </c>
      <c r="D8" s="80">
        <f t="shared" si="0"/>
        <v>-485386</v>
      </c>
    </row>
    <row r="9" spans="1:4" x14ac:dyDescent="0.2">
      <c r="A9" s="32">
        <v>60749</v>
      </c>
      <c r="B9" s="312">
        <v>41435</v>
      </c>
      <c r="C9" s="80">
        <v>-81554</v>
      </c>
      <c r="D9" s="80">
        <f t="shared" si="0"/>
        <v>-122989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>
        <v>-79820</v>
      </c>
      <c r="C11" s="80"/>
      <c r="D11" s="80">
        <f t="shared" si="0"/>
        <v>79820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-31797</v>
      </c>
    </row>
    <row r="19" spans="1:5" x14ac:dyDescent="0.2">
      <c r="A19" s="32" t="s">
        <v>81</v>
      </c>
      <c r="B19" s="69"/>
      <c r="C19" s="69"/>
      <c r="D19" s="73">
        <f>+summary!I4</f>
        <v>2.16</v>
      </c>
    </row>
    <row r="20" spans="1:5" x14ac:dyDescent="0.2">
      <c r="B20" s="69"/>
      <c r="C20" s="69"/>
      <c r="D20" s="75">
        <f>+D19*D18</f>
        <v>-68681.52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45">
        <v>45202.5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37268</v>
      </c>
      <c r="B24" s="69"/>
      <c r="C24" s="69"/>
      <c r="D24" s="335">
        <f>+D22+D20</f>
        <v>-23479.020000000004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46">
        <v>20090</v>
      </c>
    </row>
    <row r="33" spans="1:4" x14ac:dyDescent="0.2">
      <c r="A33" s="49">
        <f>+A24</f>
        <v>37268</v>
      </c>
      <c r="D33" s="355">
        <f>+D18</f>
        <v>-31797</v>
      </c>
    </row>
    <row r="34" spans="1:4" x14ac:dyDescent="0.2">
      <c r="D34" s="14">
        <f>+D33+D32</f>
        <v>-11707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14" workbookViewId="0">
      <selection activeCell="D31" sqref="D31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8" customWidth="1"/>
  </cols>
  <sheetData>
    <row r="3" spans="1:13" x14ac:dyDescent="0.25">
      <c r="A3" s="3" t="s">
        <v>83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9236</v>
      </c>
      <c r="B5" s="90">
        <f>-42369-2751</f>
        <v>-45120</v>
      </c>
      <c r="C5" s="90">
        <v>-21246</v>
      </c>
      <c r="D5" s="90">
        <f t="shared" ref="D5:D13" si="0">+C5-B5</f>
        <v>23874</v>
      </c>
      <c r="E5" s="69"/>
      <c r="F5" s="201"/>
    </row>
    <row r="6" spans="1:13" x14ac:dyDescent="0.25">
      <c r="A6" s="87">
        <v>9238</v>
      </c>
      <c r="B6" s="90">
        <f>-5932-413</f>
        <v>-6345</v>
      </c>
      <c r="C6" s="90">
        <v>-12000</v>
      </c>
      <c r="D6" s="90">
        <f t="shared" si="0"/>
        <v>-5655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5">
      <c r="A7" s="87">
        <v>56422</v>
      </c>
      <c r="B7" s="90">
        <f>-1182750-112439</f>
        <v>-1295189</v>
      </c>
      <c r="C7" s="90">
        <v>-1313266</v>
      </c>
      <c r="D7" s="90">
        <f t="shared" si="0"/>
        <v>-18077</v>
      </c>
      <c r="E7" s="275"/>
      <c r="F7" s="201"/>
    </row>
    <row r="8" spans="1:13" x14ac:dyDescent="0.25">
      <c r="A8" s="87">
        <v>58710</v>
      </c>
      <c r="B8" s="90">
        <v>-119082</v>
      </c>
      <c r="C8" s="90">
        <v>-107566</v>
      </c>
      <c r="D8" s="90">
        <f t="shared" si="0"/>
        <v>11516</v>
      </c>
      <c r="E8" s="275"/>
      <c r="F8" s="201"/>
    </row>
    <row r="9" spans="1:13" x14ac:dyDescent="0.25">
      <c r="A9" s="87">
        <v>60921</v>
      </c>
      <c r="B9" s="90">
        <f>-371324-10007</f>
        <v>-381331</v>
      </c>
      <c r="C9" s="90">
        <v>-361113</v>
      </c>
      <c r="D9" s="90">
        <f t="shared" si="0"/>
        <v>20218</v>
      </c>
      <c r="E9" s="275"/>
      <c r="F9" s="201"/>
    </row>
    <row r="10" spans="1:13" x14ac:dyDescent="0.25">
      <c r="A10" s="87">
        <v>78026</v>
      </c>
      <c r="B10" s="90"/>
      <c r="C10" s="90"/>
      <c r="D10" s="90">
        <f t="shared" si="0"/>
        <v>0</v>
      </c>
      <c r="E10" s="275"/>
      <c r="F10" s="472"/>
    </row>
    <row r="11" spans="1:13" x14ac:dyDescent="0.25">
      <c r="A11" s="87">
        <v>500084</v>
      </c>
      <c r="B11" s="90">
        <f>-25764-2328</f>
        <v>-28092</v>
      </c>
      <c r="C11" s="90">
        <v>-36000</v>
      </c>
      <c r="D11" s="90">
        <f t="shared" si="0"/>
        <v>-7908</v>
      </c>
      <c r="E11" s="276"/>
      <c r="F11" s="472"/>
    </row>
    <row r="12" spans="1:13" x14ac:dyDescent="0.25">
      <c r="A12" s="320">
        <v>500085</v>
      </c>
      <c r="B12" s="90">
        <v>-1</v>
      </c>
      <c r="C12" s="90"/>
      <c r="D12" s="90">
        <f t="shared" si="0"/>
        <v>1</v>
      </c>
      <c r="E12" s="275"/>
      <c r="F12" s="472"/>
    </row>
    <row r="13" spans="1:13" x14ac:dyDescent="0.25">
      <c r="A13" s="87">
        <v>500097</v>
      </c>
      <c r="B13" s="90">
        <v>-46407</v>
      </c>
      <c r="C13" s="90">
        <v>-48000</v>
      </c>
      <c r="D13" s="90">
        <f t="shared" si="0"/>
        <v>-1593</v>
      </c>
      <c r="E13" s="275"/>
      <c r="F13" s="472"/>
    </row>
    <row r="14" spans="1:13" x14ac:dyDescent="0.25">
      <c r="A14" s="87"/>
      <c r="B14" s="90"/>
      <c r="C14" s="90"/>
      <c r="D14" s="90"/>
      <c r="E14" s="275"/>
      <c r="F14" s="472"/>
    </row>
    <row r="15" spans="1:13" x14ac:dyDescent="0.25">
      <c r="A15" s="87"/>
      <c r="B15" s="90"/>
      <c r="C15" s="90"/>
      <c r="D15" s="90"/>
      <c r="E15" s="275"/>
      <c r="F15" s="472"/>
    </row>
    <row r="16" spans="1:13" x14ac:dyDescent="0.25">
      <c r="A16" s="87"/>
      <c r="B16" s="88"/>
      <c r="C16" s="88"/>
      <c r="D16" s="94"/>
      <c r="E16" s="275"/>
      <c r="F16" s="472"/>
    </row>
    <row r="17" spans="1:7" x14ac:dyDescent="0.25">
      <c r="A17" s="87"/>
      <c r="B17" s="88"/>
      <c r="C17" s="88"/>
      <c r="D17" s="88">
        <f>SUM(D5:D16)</f>
        <v>22376</v>
      </c>
      <c r="E17" s="275"/>
      <c r="F17" s="472"/>
    </row>
    <row r="18" spans="1:7" x14ac:dyDescent="0.25">
      <c r="A18" s="87" t="s">
        <v>81</v>
      </c>
      <c r="B18" s="88"/>
      <c r="C18" s="88"/>
      <c r="D18" s="95">
        <f>+summary!I4</f>
        <v>2.16</v>
      </c>
      <c r="E18" s="277"/>
      <c r="F18" s="472"/>
    </row>
    <row r="19" spans="1:7" x14ac:dyDescent="0.25">
      <c r="A19" s="87"/>
      <c r="B19" s="88"/>
      <c r="C19" s="88"/>
      <c r="D19" s="96">
        <f>+D18*D17</f>
        <v>48332.160000000003</v>
      </c>
      <c r="E19" s="207"/>
      <c r="F19" s="472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37256</v>
      </c>
      <c r="B21" s="88"/>
      <c r="C21" s="88"/>
      <c r="D21" s="538">
        <v>766914.32</v>
      </c>
      <c r="E21" s="207"/>
      <c r="F21" s="473"/>
    </row>
    <row r="22" spans="1:7" x14ac:dyDescent="0.25">
      <c r="A22" s="87"/>
      <c r="B22" s="88"/>
      <c r="C22" s="88"/>
      <c r="D22" s="311"/>
      <c r="E22" s="207"/>
      <c r="F22" s="473"/>
    </row>
    <row r="23" spans="1:7" ht="13.8" thickBot="1" x14ac:dyDescent="0.3">
      <c r="A23" s="99">
        <v>37268</v>
      </c>
      <c r="B23" s="88"/>
      <c r="C23" s="88"/>
      <c r="D23" s="321">
        <f>+D21+D19</f>
        <v>815246.48</v>
      </c>
      <c r="E23" s="207"/>
      <c r="F23" s="473"/>
    </row>
    <row r="24" spans="1:7" ht="13.8" thickTop="1" x14ac:dyDescent="0.25">
      <c r="E24" s="278"/>
    </row>
    <row r="25" spans="1:7" x14ac:dyDescent="0.25">
      <c r="E25" s="513"/>
    </row>
    <row r="27" spans="1:7" x14ac:dyDescent="0.25">
      <c r="A27" s="32" t="s">
        <v>149</v>
      </c>
      <c r="B27" s="32"/>
      <c r="C27" s="32"/>
      <c r="D27" s="32"/>
    </row>
    <row r="28" spans="1:7" x14ac:dyDescent="0.25">
      <c r="A28" s="49">
        <f>+A21</f>
        <v>37256</v>
      </c>
      <c r="B28" s="32"/>
      <c r="C28" s="32"/>
      <c r="D28" s="532">
        <v>307322</v>
      </c>
    </row>
    <row r="29" spans="1:7" x14ac:dyDescent="0.25">
      <c r="A29" s="49">
        <f>+A23</f>
        <v>37268</v>
      </c>
      <c r="B29" s="32"/>
      <c r="C29" s="32"/>
      <c r="D29" s="355">
        <f>+D17</f>
        <v>22376</v>
      </c>
    </row>
    <row r="30" spans="1:7" x14ac:dyDescent="0.25">
      <c r="A30" s="32"/>
      <c r="B30" s="32"/>
      <c r="C30" s="32"/>
      <c r="D30" s="14">
        <f>+D29+D28</f>
        <v>329698</v>
      </c>
      <c r="E30" s="348"/>
    </row>
    <row r="31" spans="1:7" x14ac:dyDescent="0.25">
      <c r="A31" s="139"/>
      <c r="B31" s="119"/>
      <c r="C31" s="140"/>
      <c r="D31" s="563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/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4"/>
      <c r="E36" s="69"/>
      <c r="F36" s="201"/>
      <c r="G36" s="32"/>
    </row>
    <row r="37" spans="1:7" x14ac:dyDescent="0.25">
      <c r="B37" s="69"/>
      <c r="C37" s="69"/>
      <c r="D37" s="294"/>
      <c r="E37" s="69"/>
      <c r="F37" s="201"/>
      <c r="G37" s="32"/>
    </row>
    <row r="38" spans="1:7" x14ac:dyDescent="0.25">
      <c r="B38" s="69"/>
      <c r="C38" s="69"/>
      <c r="D38" s="294"/>
      <c r="E38" s="69"/>
      <c r="F38" s="201"/>
      <c r="G38" s="32"/>
    </row>
    <row r="39" spans="1:7" x14ac:dyDescent="0.25">
      <c r="B39" s="69"/>
      <c r="C39" s="69"/>
      <c r="D39" s="294"/>
      <c r="E39" s="69"/>
      <c r="F39" s="201"/>
      <c r="G39" s="32"/>
    </row>
    <row r="40" spans="1:7" x14ac:dyDescent="0.25">
      <c r="B40" s="69"/>
      <c r="C40" s="69"/>
      <c r="D40" s="294"/>
      <c r="E40" s="69"/>
      <c r="F40" s="201"/>
      <c r="G40" s="32"/>
    </row>
    <row r="41" spans="1:7" x14ac:dyDescent="0.25">
      <c r="B41" s="69"/>
      <c r="C41" s="69"/>
      <c r="D41" s="294"/>
      <c r="E41" s="69"/>
      <c r="F41" s="201"/>
      <c r="G41" s="32"/>
    </row>
    <row r="42" spans="1:7" x14ac:dyDescent="0.25">
      <c r="B42" s="69"/>
      <c r="C42" s="69"/>
      <c r="D42" s="294"/>
      <c r="E42" s="69"/>
      <c r="F42" s="201"/>
      <c r="G42" s="32"/>
    </row>
    <row r="43" spans="1:7" x14ac:dyDescent="0.25">
      <c r="B43" s="69"/>
      <c r="C43" s="69"/>
      <c r="D43" s="294"/>
      <c r="E43" s="69"/>
      <c r="F43" s="201"/>
      <c r="G43" s="32"/>
    </row>
    <row r="44" spans="1:7" x14ac:dyDescent="0.25">
      <c r="B44" s="69"/>
      <c r="C44" s="69"/>
      <c r="D44" s="295"/>
      <c r="E44" s="275"/>
      <c r="F44" s="472"/>
      <c r="G44" s="204"/>
    </row>
    <row r="45" spans="1:7" x14ac:dyDescent="0.25">
      <c r="B45" s="69"/>
      <c r="C45" s="69"/>
      <c r="D45" s="295"/>
      <c r="E45" s="275"/>
      <c r="F45" s="472"/>
      <c r="G45" s="204"/>
    </row>
    <row r="46" spans="1:7" x14ac:dyDescent="0.25">
      <c r="A46" s="32"/>
      <c r="B46" s="69"/>
      <c r="C46" s="69"/>
      <c r="D46" s="275"/>
      <c r="E46" s="275"/>
      <c r="F46" s="472"/>
      <c r="G46" s="204"/>
    </row>
    <row r="47" spans="1:7" x14ac:dyDescent="0.25">
      <c r="A47" s="32"/>
      <c r="B47" s="69"/>
      <c r="C47" s="69"/>
      <c r="D47" s="277"/>
      <c r="E47" s="277"/>
      <c r="F47" s="472"/>
      <c r="G47" s="204"/>
    </row>
    <row r="48" spans="1:7" x14ac:dyDescent="0.25">
      <c r="B48" s="69"/>
      <c r="C48" s="69"/>
      <c r="D48" s="275"/>
      <c r="E48" s="275"/>
      <c r="F48" s="472"/>
      <c r="G48" s="204"/>
    </row>
    <row r="49" spans="1:7" x14ac:dyDescent="0.25">
      <c r="B49" s="69"/>
      <c r="C49" s="69"/>
      <c r="D49" s="275"/>
      <c r="E49" s="275"/>
      <c r="F49" s="472"/>
      <c r="G49" s="204"/>
    </row>
    <row r="50" spans="1:7" x14ac:dyDescent="0.25">
      <c r="C50" s="292"/>
      <c r="D50" s="292"/>
      <c r="E50" s="292"/>
      <c r="F50" s="474"/>
      <c r="G50" s="293"/>
    </row>
    <row r="51" spans="1:7" x14ac:dyDescent="0.25">
      <c r="A51" s="32"/>
      <c r="C51" s="292"/>
      <c r="D51" s="292"/>
      <c r="E51" s="292"/>
      <c r="F51" s="474"/>
    </row>
    <row r="52" spans="1:7" x14ac:dyDescent="0.25">
      <c r="A52" s="32"/>
      <c r="C52" s="292"/>
      <c r="D52" s="292"/>
      <c r="E52" s="292"/>
      <c r="F52" s="474"/>
    </row>
    <row r="53" spans="1:7" x14ac:dyDescent="0.25">
      <c r="A53" s="32"/>
      <c r="C53" s="292"/>
      <c r="D53" s="292"/>
      <c r="E53" s="292"/>
      <c r="F53" s="474"/>
    </row>
    <row r="54" spans="1:7" x14ac:dyDescent="0.25">
      <c r="A54" s="32"/>
      <c r="C54" s="292"/>
      <c r="D54" s="292"/>
      <c r="E54" s="292"/>
      <c r="F54" s="474"/>
    </row>
    <row r="55" spans="1:7" x14ac:dyDescent="0.25">
      <c r="A55" s="32"/>
      <c r="C55" s="292"/>
      <c r="D55" s="292"/>
      <c r="E55" s="278"/>
      <c r="F55" s="427"/>
    </row>
    <row r="56" spans="1:7" x14ac:dyDescent="0.25">
      <c r="C56" s="292"/>
      <c r="D56" s="292"/>
      <c r="E56" s="278"/>
      <c r="F56" s="427"/>
    </row>
    <row r="57" spans="1:7" x14ac:dyDescent="0.25">
      <c r="C57" s="292"/>
      <c r="D57" s="292"/>
      <c r="E57" s="278"/>
      <c r="F57" s="427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75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73"/>
    </row>
    <row r="101" spans="1:6" x14ac:dyDescent="0.25">
      <c r="A101" s="32"/>
      <c r="E101" s="63"/>
      <c r="F101" s="473"/>
    </row>
    <row r="102" spans="1:6" ht="13.8" thickBot="1" x14ac:dyDescent="0.3">
      <c r="A102" s="32"/>
      <c r="D102" s="68"/>
      <c r="E102" s="68"/>
      <c r="F102" s="473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75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73"/>
    </row>
    <row r="127" spans="1:6" x14ac:dyDescent="0.25">
      <c r="A127" s="32"/>
      <c r="D127" s="75"/>
      <c r="E127" s="75"/>
      <c r="F127" s="473"/>
    </row>
    <row r="128" spans="1:6" ht="13.8" thickBot="1" x14ac:dyDescent="0.3">
      <c r="A128" s="32"/>
      <c r="D128" s="77"/>
      <c r="E128" s="77"/>
      <c r="F128" s="473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75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73"/>
    </row>
    <row r="152" spans="1:6" x14ac:dyDescent="0.25">
      <c r="A152" s="32"/>
      <c r="D152" s="75"/>
      <c r="E152" s="75"/>
      <c r="F152" s="473"/>
    </row>
    <row r="153" spans="1:6" ht="13.8" thickBot="1" x14ac:dyDescent="0.3">
      <c r="A153" s="32"/>
      <c r="D153" s="77"/>
      <c r="E153" s="77"/>
      <c r="F153" s="473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75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73"/>
    </row>
    <row r="177" spans="1:6" x14ac:dyDescent="0.25">
      <c r="A177" s="32"/>
      <c r="D177" s="75"/>
      <c r="E177" s="75"/>
      <c r="F177" s="473"/>
    </row>
    <row r="178" spans="1:6" ht="13.8" thickBot="1" x14ac:dyDescent="0.3">
      <c r="A178" s="32"/>
      <c r="D178" s="77"/>
      <c r="E178" s="77"/>
      <c r="F178" s="473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75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73"/>
    </row>
    <row r="201" spans="1:6" x14ac:dyDescent="0.25">
      <c r="A201" s="32"/>
      <c r="D201" s="75"/>
      <c r="E201" s="75"/>
      <c r="F201" s="473"/>
    </row>
    <row r="202" spans="1:6" ht="13.8" thickBot="1" x14ac:dyDescent="0.3">
      <c r="A202" s="32"/>
      <c r="D202" s="83"/>
      <c r="E202" s="77"/>
      <c r="F202" s="473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75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73"/>
    </row>
    <row r="227" spans="1:6" x14ac:dyDescent="0.25">
      <c r="A227" s="32"/>
      <c r="D227" s="75"/>
      <c r="E227" s="75"/>
      <c r="F227" s="473"/>
    </row>
    <row r="228" spans="1:6" ht="13.8" thickBot="1" x14ac:dyDescent="0.3">
      <c r="A228" s="32"/>
      <c r="D228" s="83"/>
      <c r="E228" s="77"/>
      <c r="F228" s="473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75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73"/>
    </row>
    <row r="251" spans="1:6" x14ac:dyDescent="0.25">
      <c r="A251" s="32"/>
      <c r="D251" s="75"/>
      <c r="E251" s="75"/>
      <c r="F251" s="473"/>
    </row>
    <row r="252" spans="1:6" ht="13.8" thickBot="1" x14ac:dyDescent="0.3">
      <c r="A252" s="32"/>
      <c r="D252" s="86"/>
      <c r="E252" s="77"/>
      <c r="F252" s="473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75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73"/>
    </row>
    <row r="275" spans="1:6" x14ac:dyDescent="0.25">
      <c r="A275" s="87"/>
      <c r="B275" s="88"/>
      <c r="C275" s="88"/>
      <c r="D275" s="96"/>
      <c r="E275" s="75"/>
      <c r="F275" s="473"/>
    </row>
    <row r="276" spans="1:6" ht="13.8" thickBot="1" x14ac:dyDescent="0.3">
      <c r="A276" s="87"/>
      <c r="B276" s="88"/>
      <c r="C276" s="88"/>
      <c r="D276" s="98"/>
      <c r="E276" s="77"/>
      <c r="F276" s="473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75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73"/>
    </row>
    <row r="300" spans="1:6" x14ac:dyDescent="0.25">
      <c r="A300" s="87"/>
      <c r="B300" s="88"/>
      <c r="C300" s="88"/>
      <c r="D300" s="96"/>
      <c r="E300" s="75"/>
      <c r="F300" s="473"/>
    </row>
    <row r="301" spans="1:6" ht="13.8" thickBot="1" x14ac:dyDescent="0.3">
      <c r="A301" s="87"/>
      <c r="B301" s="88"/>
      <c r="C301" s="88"/>
      <c r="D301" s="98"/>
      <c r="E301" s="77"/>
      <c r="F301" s="473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75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73"/>
    </row>
    <row r="327" spans="1:6" x14ac:dyDescent="0.25">
      <c r="A327" s="87"/>
      <c r="B327" s="88"/>
      <c r="C327" s="88"/>
      <c r="D327" s="96"/>
      <c r="E327" s="75"/>
      <c r="F327" s="473"/>
    </row>
    <row r="328" spans="1:6" ht="13.8" thickBot="1" x14ac:dyDescent="0.3">
      <c r="A328" s="87"/>
      <c r="B328" s="88"/>
      <c r="C328" s="88"/>
      <c r="D328" s="98"/>
      <c r="E328" s="77"/>
      <c r="F328" s="473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A39" sqref="A39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  <col min="9" max="9" width="11.88671875" bestFit="1" customWidth="1"/>
    <col min="10" max="11" width="10" bestFit="1" customWidth="1"/>
    <col min="12" max="12" width="9.44140625" bestFit="1" customWidth="1"/>
    <col min="14" max="14" width="12" bestFit="1" customWidth="1"/>
    <col min="17" max="18" width="10.5546875" bestFit="1" customWidth="1"/>
    <col min="19" max="19" width="9.33203125" bestFit="1" customWidth="1"/>
    <col min="21" max="21" width="11.44140625" bestFit="1" customWidth="1"/>
  </cols>
  <sheetData>
    <row r="1" spans="1:24" x14ac:dyDescent="0.25">
      <c r="B1">
        <v>52862</v>
      </c>
      <c r="D1">
        <v>6828</v>
      </c>
    </row>
    <row r="2" spans="1:24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5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5">
      <c r="A4">
        <v>2</v>
      </c>
      <c r="B4" s="90">
        <v>45284</v>
      </c>
      <c r="C4" s="90">
        <v>45338</v>
      </c>
      <c r="D4" s="90"/>
      <c r="E4" s="90"/>
      <c r="F4" s="90">
        <f>+E4-D4+C4-B4</f>
        <v>54</v>
      </c>
    </row>
    <row r="5" spans="1:24" x14ac:dyDescent="0.25">
      <c r="A5">
        <v>3</v>
      </c>
      <c r="B5" s="90">
        <v>34397</v>
      </c>
      <c r="C5" s="90">
        <v>34338</v>
      </c>
      <c r="D5" s="90"/>
      <c r="E5" s="90"/>
      <c r="F5" s="90">
        <f>+E5-D5+C5-B5</f>
        <v>-59</v>
      </c>
    </row>
    <row r="6" spans="1:24" x14ac:dyDescent="0.25">
      <c r="A6">
        <v>4</v>
      </c>
      <c r="B6" s="90">
        <v>64090</v>
      </c>
      <c r="C6" s="90">
        <v>66519</v>
      </c>
      <c r="D6" s="90"/>
      <c r="E6" s="90"/>
      <c r="F6" s="90">
        <f t="shared" ref="F6:F33" si="0">+E6-D6+C6-B6</f>
        <v>2429</v>
      </c>
      <c r="I6" t="s">
        <v>235</v>
      </c>
      <c r="P6" t="s">
        <v>236</v>
      </c>
    </row>
    <row r="7" spans="1:24" x14ac:dyDescent="0.25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5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5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52"/>
      <c r="J9" s="330"/>
      <c r="K9" s="330"/>
      <c r="L9" s="330"/>
      <c r="M9" s="451"/>
      <c r="N9" s="451"/>
      <c r="O9" s="451"/>
      <c r="P9" s="452"/>
      <c r="Q9" s="330"/>
      <c r="R9" s="330"/>
      <c r="S9" s="330"/>
      <c r="T9" s="451"/>
      <c r="U9" s="451"/>
    </row>
    <row r="10" spans="1:24" x14ac:dyDescent="0.25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52">
        <v>37012</v>
      </c>
      <c r="J10" s="330">
        <v>1103057</v>
      </c>
      <c r="K10" s="330">
        <v>1120793</v>
      </c>
      <c r="L10" s="330">
        <f>+K10-J10</f>
        <v>17736</v>
      </c>
      <c r="M10" s="451">
        <v>4.01</v>
      </c>
      <c r="N10" s="451">
        <f>+L10*M10</f>
        <v>71121.36</v>
      </c>
      <c r="O10" s="451"/>
      <c r="P10" s="452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1">
        <v>4.01</v>
      </c>
      <c r="U10" s="451">
        <f>+S10*T10</f>
        <v>71081.259999999995</v>
      </c>
      <c r="W10" s="453">
        <v>37012</v>
      </c>
      <c r="X10">
        <v>4.01</v>
      </c>
    </row>
    <row r="11" spans="1:24" x14ac:dyDescent="0.25">
      <c r="A11">
        <v>9</v>
      </c>
      <c r="B11" s="90">
        <v>62594</v>
      </c>
      <c r="C11" s="90">
        <v>62519</v>
      </c>
      <c r="D11" s="90"/>
      <c r="E11" s="90"/>
      <c r="F11" s="90">
        <f t="shared" si="0"/>
        <v>-75</v>
      </c>
      <c r="I11" s="452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1">
        <v>3.51</v>
      </c>
      <c r="N11" s="451">
        <f>+L11*M11</f>
        <v>96809.31</v>
      </c>
      <c r="O11" s="451"/>
      <c r="P11" s="452">
        <v>37043</v>
      </c>
      <c r="Q11" s="330">
        <v>-153623</v>
      </c>
      <c r="R11" s="330">
        <v>-88473</v>
      </c>
      <c r="S11" s="330">
        <f t="shared" si="1"/>
        <v>65150</v>
      </c>
      <c r="T11" s="451">
        <v>3.51</v>
      </c>
      <c r="U11" s="451">
        <f>+S11*T11</f>
        <v>228676.5</v>
      </c>
      <c r="W11" s="453">
        <v>37043</v>
      </c>
      <c r="X11">
        <v>3.51</v>
      </c>
    </row>
    <row r="12" spans="1:24" x14ac:dyDescent="0.25">
      <c r="A12">
        <v>10</v>
      </c>
      <c r="B12" s="90">
        <v>62214</v>
      </c>
      <c r="C12" s="90">
        <v>62218</v>
      </c>
      <c r="D12" s="90"/>
      <c r="E12" s="90"/>
      <c r="F12" s="90">
        <f t="shared" si="0"/>
        <v>4</v>
      </c>
      <c r="I12" s="452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1">
        <v>2.94</v>
      </c>
      <c r="N12" s="451">
        <f>+L12*M12</f>
        <v>-114736.44</v>
      </c>
      <c r="O12" s="451"/>
      <c r="P12" s="452">
        <v>37104</v>
      </c>
      <c r="Q12" s="330">
        <v>-34269</v>
      </c>
      <c r="R12" s="330">
        <v>-27046</v>
      </c>
      <c r="S12" s="330">
        <f t="shared" si="1"/>
        <v>7223</v>
      </c>
      <c r="T12" s="451">
        <v>2.85</v>
      </c>
      <c r="U12" s="451">
        <f>+S12*T12</f>
        <v>20585.55</v>
      </c>
      <c r="W12" s="453">
        <v>37073</v>
      </c>
      <c r="X12">
        <v>2.94</v>
      </c>
    </row>
    <row r="13" spans="1:24" x14ac:dyDescent="0.25">
      <c r="A13">
        <v>11</v>
      </c>
      <c r="B13" s="90">
        <v>30610</v>
      </c>
      <c r="C13" s="90">
        <v>30338</v>
      </c>
      <c r="D13" s="90"/>
      <c r="E13" s="90"/>
      <c r="F13" s="90">
        <f t="shared" si="0"/>
        <v>-272</v>
      </c>
      <c r="I13" s="452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1">
        <v>2.85</v>
      </c>
      <c r="N13" s="451">
        <f>+L13*M13</f>
        <v>-55210.200000000004</v>
      </c>
      <c r="O13" s="451"/>
      <c r="P13" s="452">
        <v>37135</v>
      </c>
      <c r="Q13" s="330">
        <v>-1191628</v>
      </c>
      <c r="R13" s="330">
        <v>-1210937</v>
      </c>
      <c r="S13" s="330">
        <f t="shared" si="1"/>
        <v>-19309</v>
      </c>
      <c r="T13" s="451">
        <v>1.96</v>
      </c>
      <c r="U13" s="451">
        <f>+S13*T13</f>
        <v>-37845.64</v>
      </c>
      <c r="W13" s="453">
        <v>37104</v>
      </c>
      <c r="X13">
        <v>2.85</v>
      </c>
    </row>
    <row r="14" spans="1:24" x14ac:dyDescent="0.25">
      <c r="A14">
        <v>12</v>
      </c>
      <c r="B14" s="88">
        <v>30325</v>
      </c>
      <c r="C14" s="90">
        <v>30338</v>
      </c>
      <c r="D14" s="88">
        <v>-31205</v>
      </c>
      <c r="E14" s="88">
        <v>-31700</v>
      </c>
      <c r="F14" s="90">
        <f t="shared" si="0"/>
        <v>-482</v>
      </c>
      <c r="I14" s="452">
        <v>37135</v>
      </c>
      <c r="J14" s="330">
        <v>1109912</v>
      </c>
      <c r="K14" s="330">
        <v>1111335</v>
      </c>
      <c r="L14" s="330">
        <f>+K14-J14</f>
        <v>1423</v>
      </c>
      <c r="M14" s="451">
        <v>1.96</v>
      </c>
      <c r="N14" s="454">
        <f>+L14*M14</f>
        <v>2789.08</v>
      </c>
      <c r="O14" s="451"/>
      <c r="P14" s="452"/>
      <c r="Q14" s="330"/>
      <c r="R14" s="330"/>
      <c r="S14" s="330">
        <f t="shared" si="1"/>
        <v>0</v>
      </c>
      <c r="T14" s="451"/>
      <c r="U14" s="451"/>
      <c r="W14" s="453">
        <v>37135</v>
      </c>
      <c r="X14">
        <v>1.96</v>
      </c>
    </row>
    <row r="15" spans="1:24" x14ac:dyDescent="0.25">
      <c r="A15">
        <v>13</v>
      </c>
      <c r="B15" s="88"/>
      <c r="C15" s="88"/>
      <c r="D15" s="88"/>
      <c r="E15" s="88"/>
      <c r="F15" s="90">
        <f t="shared" si="0"/>
        <v>0</v>
      </c>
      <c r="I15" s="452"/>
      <c r="J15" s="330"/>
      <c r="K15" s="330"/>
      <c r="L15" s="330"/>
      <c r="M15" s="451"/>
      <c r="N15" s="451"/>
      <c r="O15" s="451"/>
      <c r="P15" s="452"/>
      <c r="Q15" s="330"/>
      <c r="R15" s="330"/>
      <c r="S15" s="330">
        <f t="shared" si="1"/>
        <v>0</v>
      </c>
      <c r="T15" s="451"/>
      <c r="U15" s="451"/>
    </row>
    <row r="16" spans="1:24" x14ac:dyDescent="0.25">
      <c r="A16">
        <v>14</v>
      </c>
      <c r="B16" s="88"/>
      <c r="C16" s="88"/>
      <c r="D16" s="88"/>
      <c r="E16" s="88"/>
      <c r="F16" s="90">
        <f t="shared" si="0"/>
        <v>0</v>
      </c>
      <c r="I16" s="452" t="s">
        <v>237</v>
      </c>
      <c r="J16" s="330"/>
      <c r="K16" s="330"/>
      <c r="L16" s="330">
        <f>SUM(L10:L15)</f>
        <v>-11658</v>
      </c>
      <c r="M16" s="451"/>
      <c r="N16" s="451">
        <f>SUM(N9:N15)</f>
        <v>773.10999999997694</v>
      </c>
      <c r="O16" s="451"/>
      <c r="P16" s="452" t="s">
        <v>237</v>
      </c>
      <c r="Q16" s="330"/>
      <c r="R16" s="330"/>
      <c r="S16" s="330">
        <f>SUM(S9:S15)</f>
        <v>70790</v>
      </c>
      <c r="T16" s="451"/>
      <c r="U16" s="451">
        <f>SUM(U9:U15)</f>
        <v>282497.67</v>
      </c>
    </row>
    <row r="17" spans="1:21" x14ac:dyDescent="0.25">
      <c r="A17">
        <v>15</v>
      </c>
      <c r="B17" s="88"/>
      <c r="C17" s="88"/>
      <c r="D17" s="330"/>
      <c r="E17" s="330"/>
      <c r="F17" s="90">
        <f t="shared" si="0"/>
        <v>0</v>
      </c>
    </row>
    <row r="18" spans="1:21" x14ac:dyDescent="0.25">
      <c r="A18">
        <v>16</v>
      </c>
      <c r="B18" s="88"/>
      <c r="C18" s="88"/>
      <c r="D18" s="330"/>
      <c r="E18" s="330"/>
      <c r="F18" s="90">
        <f t="shared" si="0"/>
        <v>0</v>
      </c>
      <c r="I18" s="452" t="s">
        <v>238</v>
      </c>
      <c r="J18" s="330"/>
      <c r="K18" s="330"/>
      <c r="L18" s="330">
        <v>19880</v>
      </c>
      <c r="M18" s="451"/>
      <c r="N18" s="451"/>
      <c r="O18" s="451"/>
      <c r="P18" s="452" t="s">
        <v>238</v>
      </c>
      <c r="Q18" s="330"/>
      <c r="R18" s="330"/>
      <c r="S18" s="330">
        <v>37185</v>
      </c>
      <c r="T18" s="451"/>
      <c r="U18" s="451"/>
    </row>
    <row r="19" spans="1:21" x14ac:dyDescent="0.25">
      <c r="A19">
        <v>17</v>
      </c>
      <c r="B19" s="88"/>
      <c r="C19" s="88"/>
      <c r="D19" s="330"/>
      <c r="E19" s="330"/>
      <c r="F19" s="90">
        <f t="shared" si="0"/>
        <v>0</v>
      </c>
      <c r="I19" s="452"/>
      <c r="J19" s="330"/>
      <c r="K19" s="330"/>
      <c r="L19" s="330"/>
      <c r="M19" s="451"/>
      <c r="N19" s="451"/>
      <c r="O19" s="451"/>
      <c r="P19" s="452"/>
      <c r="Q19" s="330"/>
      <c r="R19" s="330"/>
      <c r="S19" s="330"/>
      <c r="T19" s="451"/>
      <c r="U19" s="451"/>
    </row>
    <row r="20" spans="1:21" x14ac:dyDescent="0.25">
      <c r="A20">
        <v>18</v>
      </c>
      <c r="B20" s="330"/>
      <c r="C20" s="330"/>
      <c r="D20" s="330"/>
      <c r="E20" s="330"/>
      <c r="F20" s="90">
        <f t="shared" si="0"/>
        <v>0</v>
      </c>
      <c r="I20" s="452"/>
      <c r="J20" s="330"/>
      <c r="K20" s="330"/>
      <c r="L20" s="330"/>
      <c r="M20" s="451"/>
      <c r="N20" s="451"/>
      <c r="O20" s="451"/>
      <c r="P20" s="452"/>
      <c r="Q20" s="330"/>
      <c r="R20" s="330"/>
      <c r="S20" s="330"/>
      <c r="T20" s="451"/>
      <c r="U20" s="451"/>
    </row>
    <row r="21" spans="1:21" x14ac:dyDescent="0.25">
      <c r="A21">
        <v>19</v>
      </c>
      <c r="B21" s="330"/>
      <c r="C21" s="330"/>
      <c r="D21" s="330"/>
      <c r="E21" s="330"/>
      <c r="F21" s="90">
        <f t="shared" si="0"/>
        <v>0</v>
      </c>
      <c r="I21" s="452"/>
      <c r="J21" s="330"/>
      <c r="K21" s="330"/>
      <c r="L21" s="330"/>
      <c r="M21" s="451"/>
      <c r="N21" s="451"/>
      <c r="O21" s="451"/>
      <c r="P21" s="452"/>
      <c r="Q21" s="330"/>
      <c r="R21" s="330"/>
      <c r="S21" s="330"/>
      <c r="T21" s="451"/>
      <c r="U21" s="451"/>
    </row>
    <row r="22" spans="1:21" x14ac:dyDescent="0.25">
      <c r="A22">
        <v>20</v>
      </c>
      <c r="B22" s="433"/>
      <c r="C22" s="330"/>
      <c r="D22" s="330"/>
      <c r="E22" s="330"/>
      <c r="F22" s="90">
        <f t="shared" si="0"/>
        <v>0</v>
      </c>
      <c r="I22" s="452"/>
      <c r="J22" s="330"/>
      <c r="K22" s="330"/>
      <c r="L22" s="330"/>
      <c r="M22" s="451"/>
      <c r="N22" s="451"/>
      <c r="O22" s="451"/>
      <c r="P22" s="452"/>
      <c r="Q22" s="330"/>
      <c r="R22" s="330"/>
      <c r="S22" s="330"/>
      <c r="T22" s="451"/>
      <c r="U22" s="451"/>
    </row>
    <row r="23" spans="1:21" x14ac:dyDescent="0.25">
      <c r="A23">
        <v>21</v>
      </c>
      <c r="B23" s="330"/>
      <c r="C23" s="330"/>
      <c r="D23" s="330"/>
      <c r="E23" s="330"/>
      <c r="F23" s="90">
        <f t="shared" si="0"/>
        <v>0</v>
      </c>
      <c r="I23" s="452"/>
      <c r="J23" s="330"/>
      <c r="K23" s="330"/>
      <c r="L23" s="330"/>
      <c r="M23" s="451"/>
      <c r="N23" s="451"/>
      <c r="O23" s="451"/>
      <c r="P23" s="452"/>
      <c r="Q23" s="330"/>
      <c r="R23" s="330"/>
      <c r="S23" s="330"/>
      <c r="T23" s="451"/>
      <c r="U23" s="451"/>
    </row>
    <row r="24" spans="1:21" x14ac:dyDescent="0.25">
      <c r="A24">
        <v>22</v>
      </c>
      <c r="B24" s="330"/>
      <c r="C24" s="330"/>
      <c r="D24" s="330"/>
      <c r="E24" s="330"/>
      <c r="F24" s="90">
        <f t="shared" si="0"/>
        <v>0</v>
      </c>
      <c r="I24" s="87"/>
      <c r="J24" s="87"/>
      <c r="K24" s="87"/>
      <c r="L24" s="87"/>
      <c r="M24" s="451"/>
      <c r="N24" s="451"/>
      <c r="O24" s="451"/>
      <c r="P24" s="87"/>
      <c r="Q24" s="87"/>
      <c r="R24" s="87"/>
      <c r="S24" s="330"/>
      <c r="T24" s="451"/>
      <c r="U24" s="451"/>
    </row>
    <row r="25" spans="1:21" x14ac:dyDescent="0.25">
      <c r="A25">
        <v>23</v>
      </c>
      <c r="B25" s="330"/>
      <c r="C25" s="330"/>
      <c r="D25" s="330"/>
      <c r="E25" s="330"/>
      <c r="F25" s="90">
        <f t="shared" si="0"/>
        <v>0</v>
      </c>
      <c r="I25" s="87"/>
      <c r="J25" s="87"/>
      <c r="K25" s="87"/>
      <c r="L25" s="87"/>
      <c r="M25" s="451"/>
      <c r="N25" s="451"/>
      <c r="O25" s="451"/>
      <c r="P25" s="87"/>
      <c r="Q25" s="87"/>
      <c r="R25" s="87"/>
      <c r="S25" s="330"/>
      <c r="T25" s="451"/>
      <c r="U25" s="451"/>
    </row>
    <row r="26" spans="1:21" x14ac:dyDescent="0.25">
      <c r="A26">
        <v>24</v>
      </c>
      <c r="B26" s="330"/>
      <c r="C26" s="330"/>
      <c r="D26" s="330"/>
      <c r="E26" s="330"/>
      <c r="F26" s="90">
        <f t="shared" si="0"/>
        <v>0</v>
      </c>
      <c r="I26" s="87"/>
      <c r="J26" s="87"/>
      <c r="K26" s="87"/>
      <c r="L26" s="87"/>
      <c r="M26" s="451"/>
      <c r="N26" s="451"/>
      <c r="O26" s="451"/>
      <c r="P26" s="87"/>
      <c r="Q26" s="87"/>
      <c r="R26" s="87"/>
      <c r="S26" s="330"/>
      <c r="T26" s="451"/>
      <c r="U26" s="451"/>
    </row>
    <row r="27" spans="1:21" x14ac:dyDescent="0.25">
      <c r="A27">
        <v>25</v>
      </c>
      <c r="B27" s="330"/>
      <c r="C27" s="330"/>
      <c r="D27" s="330"/>
      <c r="E27" s="330"/>
      <c r="F27" s="90">
        <f t="shared" si="0"/>
        <v>0</v>
      </c>
      <c r="I27" s="87"/>
      <c r="J27" s="87"/>
      <c r="K27" s="87"/>
      <c r="L27" s="87"/>
      <c r="M27" s="451"/>
      <c r="N27" s="451"/>
      <c r="O27" s="451"/>
      <c r="P27" s="87"/>
      <c r="Q27" s="87"/>
      <c r="R27" s="87"/>
      <c r="S27" s="330"/>
      <c r="T27" s="451"/>
      <c r="U27" s="451"/>
    </row>
    <row r="28" spans="1:21" x14ac:dyDescent="0.25">
      <c r="A28">
        <v>26</v>
      </c>
      <c r="B28" s="330"/>
      <c r="C28" s="330"/>
      <c r="D28" s="14"/>
      <c r="E28" s="14"/>
      <c r="F28" s="90">
        <f t="shared" si="0"/>
        <v>0</v>
      </c>
      <c r="I28" s="87"/>
      <c r="J28" s="87"/>
      <c r="K28" s="87"/>
      <c r="L28" s="87"/>
      <c r="M28" s="451"/>
      <c r="N28" s="451"/>
      <c r="O28" s="451"/>
      <c r="P28" s="87"/>
      <c r="Q28" s="87"/>
      <c r="R28" s="87"/>
      <c r="S28" s="87"/>
      <c r="T28" s="451"/>
      <c r="U28" s="451"/>
    </row>
    <row r="29" spans="1:21" x14ac:dyDescent="0.25">
      <c r="A29">
        <v>27</v>
      </c>
      <c r="B29" s="330"/>
      <c r="C29" s="330"/>
      <c r="D29" s="14"/>
      <c r="E29" s="14"/>
      <c r="F29" s="90">
        <f t="shared" si="0"/>
        <v>0</v>
      </c>
      <c r="I29" s="87"/>
      <c r="J29" s="87"/>
      <c r="K29" s="87"/>
      <c r="L29" s="87"/>
      <c r="M29" s="451"/>
      <c r="N29" s="451"/>
      <c r="O29" s="451"/>
      <c r="P29" s="87"/>
      <c r="Q29" s="87"/>
      <c r="R29" s="87"/>
      <c r="S29" s="87"/>
      <c r="T29" s="451"/>
      <c r="U29" s="451"/>
    </row>
    <row r="30" spans="1:21" x14ac:dyDescent="0.25">
      <c r="A30">
        <v>28</v>
      </c>
      <c r="B30" s="433"/>
      <c r="C30" s="330"/>
      <c r="D30" s="14"/>
      <c r="E30" s="14"/>
      <c r="F30" s="90">
        <f t="shared" si="0"/>
        <v>0</v>
      </c>
      <c r="I30" s="87"/>
      <c r="J30" s="87"/>
      <c r="K30" s="87"/>
      <c r="L30" s="87"/>
      <c r="M30" s="451"/>
      <c r="N30" s="451"/>
      <c r="O30" s="451"/>
      <c r="P30" s="87"/>
      <c r="Q30" s="87"/>
      <c r="R30" s="87"/>
      <c r="S30" s="87"/>
      <c r="T30" s="451"/>
      <c r="U30" s="451"/>
    </row>
    <row r="31" spans="1:21" x14ac:dyDescent="0.25">
      <c r="A31">
        <v>29</v>
      </c>
      <c r="B31" s="330"/>
      <c r="C31" s="330"/>
      <c r="D31" s="14"/>
      <c r="E31" s="14"/>
      <c r="F31" s="90">
        <f t="shared" si="0"/>
        <v>0</v>
      </c>
      <c r="I31" s="87"/>
      <c r="J31" s="87"/>
      <c r="K31" s="87"/>
      <c r="L31" s="87"/>
      <c r="M31" s="451"/>
      <c r="N31" s="451"/>
      <c r="O31" s="451"/>
      <c r="P31" s="87"/>
      <c r="Q31" s="87"/>
      <c r="R31" s="87"/>
      <c r="S31" s="87"/>
      <c r="T31" s="451"/>
      <c r="U31" s="451"/>
    </row>
    <row r="32" spans="1:21" x14ac:dyDescent="0.25">
      <c r="A32">
        <v>30</v>
      </c>
      <c r="B32" s="330"/>
      <c r="C32" s="330"/>
      <c r="D32" s="14"/>
      <c r="E32" s="14"/>
      <c r="F32" s="90">
        <f t="shared" si="0"/>
        <v>0</v>
      </c>
      <c r="M32" s="259"/>
      <c r="N32" s="259"/>
      <c r="O32" s="259"/>
      <c r="T32" s="259"/>
      <c r="U32" s="259"/>
    </row>
    <row r="33" spans="1:21" x14ac:dyDescent="0.25">
      <c r="A33">
        <v>31</v>
      </c>
      <c r="B33" s="330"/>
      <c r="C33" s="330"/>
      <c r="D33" s="14"/>
      <c r="E33" s="14"/>
      <c r="F33" s="90">
        <f t="shared" si="0"/>
        <v>0</v>
      </c>
      <c r="M33" s="259"/>
      <c r="N33" s="259"/>
      <c r="O33" s="259"/>
      <c r="T33" s="259"/>
      <c r="U33" s="259"/>
    </row>
    <row r="34" spans="1:21" x14ac:dyDescent="0.25">
      <c r="B34" s="287">
        <f>SUM(B3:B33)</f>
        <v>629707</v>
      </c>
      <c r="C34" s="287">
        <f>SUM(C3:C33)</f>
        <v>639618</v>
      </c>
      <c r="D34" s="14">
        <f>SUM(D3:D33)</f>
        <v>-96463</v>
      </c>
      <c r="E34" s="14">
        <f>SUM(E3:E33)</f>
        <v>-91700</v>
      </c>
      <c r="F34" s="14">
        <f>SUM(F3:F33)</f>
        <v>14674</v>
      </c>
      <c r="M34" s="259"/>
      <c r="N34" s="259"/>
      <c r="O34" s="259"/>
      <c r="T34" s="259"/>
      <c r="U34" s="259"/>
    </row>
    <row r="35" spans="1:21" x14ac:dyDescent="0.25">
      <c r="D35" s="14"/>
      <c r="E35" s="14"/>
      <c r="F35" s="14"/>
      <c r="M35" s="259"/>
      <c r="N35" s="259"/>
      <c r="O35" s="259"/>
      <c r="T35" s="259"/>
      <c r="U35" s="259"/>
    </row>
    <row r="36" spans="1:21" x14ac:dyDescent="0.25">
      <c r="F36" s="334"/>
      <c r="M36" s="259"/>
      <c r="N36" s="259"/>
      <c r="O36" s="259"/>
      <c r="T36" s="259"/>
      <c r="U36" s="259"/>
    </row>
    <row r="37" spans="1:21" x14ac:dyDescent="0.25">
      <c r="A37" s="256">
        <v>37256</v>
      </c>
      <c r="B37" s="14"/>
      <c r="C37" s="14"/>
      <c r="D37" s="14"/>
      <c r="E37" s="14"/>
      <c r="F37" s="492">
        <v>116110</v>
      </c>
      <c r="M37" s="259"/>
      <c r="N37" s="259"/>
      <c r="O37" s="259"/>
      <c r="T37" s="259"/>
      <c r="U37" s="259"/>
    </row>
    <row r="38" spans="1:21" x14ac:dyDescent="0.25">
      <c r="A38" s="256">
        <v>37268</v>
      </c>
      <c r="B38" s="14"/>
      <c r="C38" s="14"/>
      <c r="D38" s="14"/>
      <c r="E38" s="14"/>
      <c r="F38" s="150">
        <f>+F37+F34</f>
        <v>130784</v>
      </c>
      <c r="M38" s="259"/>
      <c r="N38" s="259"/>
      <c r="O38" s="259"/>
    </row>
    <row r="39" spans="1:21" x14ac:dyDescent="0.25">
      <c r="F39" s="293"/>
      <c r="M39" s="259"/>
      <c r="N39" s="259"/>
      <c r="O39" s="259"/>
    </row>
    <row r="40" spans="1:21" x14ac:dyDescent="0.25">
      <c r="F40" s="293"/>
      <c r="I40" s="348"/>
      <c r="M40" s="259"/>
      <c r="N40" s="259"/>
      <c r="O40" s="259"/>
    </row>
    <row r="41" spans="1:21" x14ac:dyDescent="0.25">
      <c r="F41" s="293"/>
      <c r="I41" s="348"/>
      <c r="M41" s="259"/>
      <c r="N41" s="259"/>
      <c r="O41" s="259"/>
    </row>
    <row r="42" spans="1:21" x14ac:dyDescent="0.25">
      <c r="A42" s="32" t="s">
        <v>150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5">
      <c r="A43" s="49">
        <f>+A37</f>
        <v>37256</v>
      </c>
      <c r="B43" s="32"/>
      <c r="C43" s="32"/>
      <c r="D43" s="495">
        <v>296376</v>
      </c>
      <c r="F43" s="293"/>
      <c r="G43" s="31"/>
      <c r="I43" s="348"/>
      <c r="M43" s="259"/>
      <c r="N43" s="259"/>
      <c r="O43" s="259"/>
    </row>
    <row r="44" spans="1:21" x14ac:dyDescent="0.25">
      <c r="A44" s="49">
        <f>+A38</f>
        <v>37268</v>
      </c>
      <c r="B44" s="32"/>
      <c r="C44" s="32"/>
      <c r="D44" s="380">
        <f>+F34*'by type_area'!J4</f>
        <v>31695.840000000004</v>
      </c>
      <c r="F44" s="293"/>
      <c r="I44" s="348"/>
      <c r="M44" s="259"/>
      <c r="N44" s="259"/>
      <c r="O44" s="259"/>
    </row>
    <row r="45" spans="1:21" x14ac:dyDescent="0.25">
      <c r="A45" s="32"/>
      <c r="B45" s="32"/>
      <c r="C45" s="32"/>
      <c r="D45" s="200">
        <f>+D44+D43</f>
        <v>328071.84000000003</v>
      </c>
      <c r="F45" s="293"/>
      <c r="I45" s="511"/>
      <c r="M45" s="259"/>
      <c r="N45" s="259"/>
      <c r="O45" s="259"/>
    </row>
    <row r="46" spans="1:21" x14ac:dyDescent="0.25">
      <c r="F46" s="293"/>
      <c r="I46" s="348"/>
      <c r="M46" s="259"/>
      <c r="N46" s="259"/>
      <c r="O46" s="259"/>
    </row>
    <row r="47" spans="1:21" x14ac:dyDescent="0.25">
      <c r="F47" s="293"/>
      <c r="M47" s="259"/>
      <c r="N47" s="259"/>
      <c r="O47" s="259"/>
    </row>
    <row r="48" spans="1:21" x14ac:dyDescent="0.25">
      <c r="F48" s="293"/>
      <c r="M48" s="259"/>
      <c r="N48" s="259"/>
      <c r="O48" s="259"/>
    </row>
    <row r="49" spans="13:15" x14ac:dyDescent="0.25">
      <c r="M49" s="259"/>
      <c r="N49" s="259"/>
      <c r="O49" s="259"/>
    </row>
    <row r="50" spans="13:15" x14ac:dyDescent="0.25">
      <c r="M50" s="259"/>
      <c r="N50" s="259"/>
      <c r="O50" s="259"/>
    </row>
    <row r="51" spans="13:15" x14ac:dyDescent="0.25">
      <c r="M51" s="259"/>
      <c r="N51" s="259"/>
      <c r="O51" s="259"/>
    </row>
    <row r="52" spans="13:15" x14ac:dyDescent="0.25">
      <c r="M52" s="259"/>
      <c r="N52" s="259"/>
      <c r="O52" s="259"/>
    </row>
    <row r="53" spans="13:15" x14ac:dyDescent="0.25">
      <c r="M53" s="259"/>
      <c r="N53" s="259"/>
      <c r="O53" s="259"/>
    </row>
    <row r="54" spans="13:15" x14ac:dyDescent="0.25">
      <c r="M54" s="259"/>
      <c r="N54" s="259"/>
      <c r="O54" s="259"/>
    </row>
    <row r="55" spans="13:15" x14ac:dyDescent="0.25">
      <c r="M55" s="259"/>
      <c r="N55" s="259"/>
      <c r="O55" s="259"/>
    </row>
    <row r="56" spans="13:15" x14ac:dyDescent="0.25">
      <c r="M56" s="259"/>
      <c r="N56" s="259"/>
      <c r="O56" s="259"/>
    </row>
    <row r="57" spans="13:15" x14ac:dyDescent="0.25">
      <c r="M57" s="259"/>
      <c r="N57" s="259"/>
      <c r="O57" s="259"/>
    </row>
    <row r="58" spans="13:15" x14ac:dyDescent="0.25">
      <c r="M58" s="259"/>
      <c r="N58" s="259"/>
      <c r="O58" s="259"/>
    </row>
    <row r="59" spans="13:15" x14ac:dyDescent="0.25">
      <c r="M59" s="259"/>
      <c r="N59" s="259"/>
      <c r="O59" s="259"/>
    </row>
    <row r="60" spans="13:15" x14ac:dyDescent="0.25">
      <c r="M60" s="259"/>
      <c r="N60" s="259"/>
      <c r="O60" s="259"/>
    </row>
    <row r="61" spans="13:15" x14ac:dyDescent="0.25">
      <c r="M61" s="259"/>
      <c r="N61" s="259"/>
      <c r="O61" s="259"/>
    </row>
    <row r="62" spans="13:15" x14ac:dyDescent="0.25">
      <c r="M62" s="259"/>
      <c r="N62" s="259"/>
      <c r="O62" s="259"/>
    </row>
    <row r="63" spans="13:15" x14ac:dyDescent="0.25">
      <c r="M63" s="259"/>
      <c r="N63" s="259"/>
      <c r="O63" s="259"/>
    </row>
    <row r="64" spans="13:15" x14ac:dyDescent="0.25">
      <c r="M64" s="259"/>
      <c r="N64" s="259"/>
      <c r="O64" s="259"/>
    </row>
    <row r="65" spans="13:15" x14ac:dyDescent="0.25">
      <c r="M65" s="259"/>
      <c r="N65" s="259"/>
      <c r="O65" s="259"/>
    </row>
    <row r="66" spans="13:15" x14ac:dyDescent="0.25">
      <c r="M66" s="259"/>
      <c r="N66" s="259"/>
      <c r="O66" s="259"/>
    </row>
    <row r="67" spans="13:15" x14ac:dyDescent="0.25">
      <c r="M67" s="259"/>
      <c r="N67" s="259"/>
      <c r="O67" s="259"/>
    </row>
    <row r="68" spans="13:15" x14ac:dyDescent="0.25">
      <c r="M68" s="259"/>
      <c r="N68" s="259"/>
      <c r="O68" s="259"/>
    </row>
    <row r="69" spans="13:15" x14ac:dyDescent="0.25">
      <c r="M69" s="259"/>
      <c r="N69" s="259"/>
      <c r="O69" s="259"/>
    </row>
    <row r="70" spans="13:15" x14ac:dyDescent="0.25">
      <c r="M70" s="259"/>
      <c r="N70" s="259"/>
      <c r="O70" s="259"/>
    </row>
    <row r="71" spans="13:15" x14ac:dyDescent="0.25">
      <c r="M71" s="259"/>
      <c r="N71" s="259"/>
      <c r="O71" s="259"/>
    </row>
    <row r="72" spans="13:15" x14ac:dyDescent="0.25">
      <c r="M72" s="259"/>
      <c r="N72" s="259"/>
      <c r="O72" s="259"/>
    </row>
    <row r="73" spans="13:15" x14ac:dyDescent="0.25">
      <c r="M73" s="259"/>
      <c r="N73" s="259"/>
      <c r="O73" s="259"/>
    </row>
    <row r="74" spans="13:15" x14ac:dyDescent="0.25">
      <c r="M74" s="259"/>
      <c r="N74" s="259"/>
      <c r="O74" s="259"/>
    </row>
    <row r="75" spans="13:15" x14ac:dyDescent="0.25">
      <c r="M75" s="259"/>
      <c r="N75" s="259"/>
      <c r="O75" s="259"/>
    </row>
    <row r="76" spans="13:15" x14ac:dyDescent="0.25">
      <c r="M76" s="259"/>
      <c r="N76" s="259"/>
      <c r="O76" s="259"/>
    </row>
    <row r="77" spans="13:15" x14ac:dyDescent="0.25">
      <c r="M77" s="259"/>
      <c r="N77" s="259"/>
      <c r="O77" s="259"/>
    </row>
    <row r="78" spans="13:15" x14ac:dyDescent="0.25">
      <c r="M78" s="259"/>
      <c r="N78" s="259"/>
      <c r="O78" s="259"/>
    </row>
    <row r="79" spans="13:15" x14ac:dyDescent="0.25">
      <c r="M79" s="259"/>
      <c r="N79" s="259"/>
      <c r="O79" s="259"/>
    </row>
    <row r="80" spans="13:15" x14ac:dyDescent="0.25">
      <c r="M80" s="259"/>
      <c r="N80" s="259"/>
      <c r="O80" s="259"/>
    </row>
    <row r="81" spans="13:15" x14ac:dyDescent="0.25">
      <c r="M81" s="259"/>
      <c r="N81" s="259"/>
      <c r="O81" s="259"/>
    </row>
    <row r="82" spans="13:15" x14ac:dyDescent="0.25">
      <c r="M82" s="259"/>
      <c r="N82" s="259"/>
      <c r="O82" s="259"/>
    </row>
    <row r="83" spans="13:15" x14ac:dyDescent="0.25">
      <c r="M83" s="259"/>
      <c r="N83" s="259"/>
      <c r="O83" s="259"/>
    </row>
    <row r="84" spans="13:15" x14ac:dyDescent="0.25">
      <c r="M84" s="259"/>
      <c r="N84" s="259"/>
      <c r="O84" s="259"/>
    </row>
    <row r="85" spans="13:15" x14ac:dyDescent="0.25">
      <c r="M85" s="259"/>
      <c r="N85" s="259"/>
      <c r="O85" s="259"/>
    </row>
    <row r="86" spans="13:15" x14ac:dyDescent="0.25">
      <c r="M86" s="259"/>
      <c r="N86" s="259"/>
      <c r="O86" s="259"/>
    </row>
    <row r="87" spans="13:15" x14ac:dyDescent="0.25">
      <c r="M87" s="259"/>
      <c r="N87" s="259"/>
      <c r="O87" s="259"/>
    </row>
    <row r="88" spans="13:15" x14ac:dyDescent="0.25">
      <c r="M88" s="259"/>
      <c r="N88" s="259"/>
      <c r="O88" s="259"/>
    </row>
    <row r="89" spans="13:15" x14ac:dyDescent="0.25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4" workbookViewId="0">
      <selection activeCell="B40" sqref="B40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5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5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5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5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5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5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5">
      <c r="A11" s="10">
        <v>8</v>
      </c>
      <c r="B11" s="11">
        <v>-20572</v>
      </c>
      <c r="C11" s="11">
        <v>-20000</v>
      </c>
      <c r="D11" s="25">
        <f t="shared" si="0"/>
        <v>572</v>
      </c>
    </row>
    <row r="12" spans="1:4" x14ac:dyDescent="0.25">
      <c r="A12" s="10">
        <v>9</v>
      </c>
      <c r="B12" s="11">
        <v>-20237</v>
      </c>
      <c r="C12" s="11">
        <v>-20000</v>
      </c>
      <c r="D12" s="25">
        <f t="shared" si="0"/>
        <v>237</v>
      </c>
    </row>
    <row r="13" spans="1:4" x14ac:dyDescent="0.25">
      <c r="A13" s="10">
        <v>10</v>
      </c>
      <c r="B13" s="11">
        <v>-20998</v>
      </c>
      <c r="C13" s="11">
        <v>-20000</v>
      </c>
      <c r="D13" s="25">
        <f t="shared" si="0"/>
        <v>998</v>
      </c>
    </row>
    <row r="14" spans="1:4" x14ac:dyDescent="0.25">
      <c r="A14" s="10">
        <v>11</v>
      </c>
      <c r="B14" s="11">
        <v>-20735</v>
      </c>
      <c r="C14" s="11">
        <v>-20000</v>
      </c>
      <c r="D14" s="25">
        <f t="shared" si="0"/>
        <v>735</v>
      </c>
    </row>
    <row r="15" spans="1:4" x14ac:dyDescent="0.25">
      <c r="A15" s="10">
        <v>12</v>
      </c>
      <c r="B15" s="11">
        <v>-21003</v>
      </c>
      <c r="C15" s="11">
        <v>-20000</v>
      </c>
      <c r="D15" s="25">
        <f t="shared" si="0"/>
        <v>1003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29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-217724</v>
      </c>
      <c r="C35" s="11">
        <f>SUM(C4:C34)</f>
        <v>-209708</v>
      </c>
      <c r="D35" s="11">
        <f>SUM(D4:D34)</f>
        <v>8016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37256</v>
      </c>
      <c r="D38" s="499">
        <v>186823</v>
      </c>
    </row>
    <row r="39" spans="1:4" x14ac:dyDescent="0.25">
      <c r="A39" s="2"/>
      <c r="D39" s="24"/>
    </row>
    <row r="40" spans="1:4" x14ac:dyDescent="0.25">
      <c r="A40" s="57">
        <v>37268</v>
      </c>
      <c r="D40" s="51">
        <f>+D38+D35</f>
        <v>194839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+A38</f>
        <v>37256</v>
      </c>
      <c r="B45" s="32"/>
      <c r="C45" s="32"/>
      <c r="D45" s="498">
        <v>199813</v>
      </c>
    </row>
    <row r="46" spans="1:4" x14ac:dyDescent="0.25">
      <c r="A46" s="49">
        <f>+A40</f>
        <v>37268</v>
      </c>
      <c r="B46" s="32"/>
      <c r="C46" s="32"/>
      <c r="D46" s="380">
        <f>+D35*'by type_area'!J4</f>
        <v>17314.560000000001</v>
      </c>
    </row>
    <row r="47" spans="1:4" x14ac:dyDescent="0.25">
      <c r="A47" s="32"/>
      <c r="B47" s="32"/>
      <c r="C47" s="32"/>
      <c r="D47" s="200">
        <f>+D46+D45</f>
        <v>217127.56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1" workbookViewId="0">
      <selection activeCell="C36" sqref="C36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3642</v>
      </c>
      <c r="G6" s="11">
        <v>7800</v>
      </c>
      <c r="H6" s="11"/>
      <c r="I6" s="11"/>
      <c r="J6" s="11">
        <f t="shared" si="0"/>
        <v>5851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5606</v>
      </c>
      <c r="G7" s="11">
        <v>7800</v>
      </c>
      <c r="H7" s="11"/>
      <c r="I7" s="11"/>
      <c r="J7" s="11">
        <f t="shared" si="0"/>
        <v>4250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7664</v>
      </c>
      <c r="G8" s="11">
        <v>7800</v>
      </c>
      <c r="H8" s="11"/>
      <c r="I8" s="11"/>
      <c r="J8" s="11">
        <f t="shared" si="0"/>
        <v>-707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7968</v>
      </c>
      <c r="G9" s="11">
        <v>7800</v>
      </c>
      <c r="H9" s="11"/>
      <c r="I9" s="11"/>
      <c r="J9" s="11">
        <f t="shared" si="0"/>
        <v>-427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7887</v>
      </c>
      <c r="G10" s="11">
        <v>7800</v>
      </c>
      <c r="H10" s="11"/>
      <c r="I10" s="11"/>
      <c r="J10" s="11">
        <f t="shared" si="0"/>
        <v>-809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7847</v>
      </c>
      <c r="G11" s="11">
        <v>7800</v>
      </c>
      <c r="H11" s="11"/>
      <c r="I11" s="11"/>
      <c r="J11" s="11">
        <f t="shared" si="0"/>
        <v>163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10910</v>
      </c>
      <c r="C12" s="11">
        <v>10500</v>
      </c>
      <c r="D12" s="11">
        <v>8098</v>
      </c>
      <c r="E12" s="11">
        <v>7800</v>
      </c>
      <c r="F12" s="11">
        <v>7843</v>
      </c>
      <c r="G12" s="11">
        <v>7800</v>
      </c>
      <c r="H12" s="11"/>
      <c r="I12" s="11"/>
      <c r="J12" s="11">
        <f t="shared" si="0"/>
        <v>-751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10835</v>
      </c>
      <c r="C13" s="11">
        <v>10414</v>
      </c>
      <c r="D13" s="11">
        <v>8179</v>
      </c>
      <c r="E13" s="11">
        <v>7800</v>
      </c>
      <c r="F13" s="11">
        <v>7949</v>
      </c>
      <c r="G13" s="11">
        <v>7800</v>
      </c>
      <c r="H13" s="11"/>
      <c r="I13" s="11"/>
      <c r="J13" s="11">
        <f t="shared" si="0"/>
        <v>-949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10923</v>
      </c>
      <c r="C14" s="11">
        <v>10500</v>
      </c>
      <c r="D14" s="11">
        <v>8046</v>
      </c>
      <c r="E14" s="11">
        <v>7800</v>
      </c>
      <c r="F14" s="11">
        <v>7281</v>
      </c>
      <c r="G14" s="11">
        <v>7800</v>
      </c>
      <c r="H14" s="11"/>
      <c r="I14" s="11"/>
      <c r="J14" s="11">
        <f t="shared" si="0"/>
        <v>-150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10263</v>
      </c>
      <c r="C15" s="11">
        <v>10500</v>
      </c>
      <c r="D15" s="11">
        <v>8248</v>
      </c>
      <c r="E15" s="11">
        <v>7800</v>
      </c>
      <c r="F15" s="11">
        <v>7006</v>
      </c>
      <c r="G15" s="11">
        <v>7800</v>
      </c>
      <c r="H15" s="11"/>
      <c r="I15" s="11"/>
      <c r="J15" s="11">
        <f t="shared" si="0"/>
        <v>583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127395</v>
      </c>
      <c r="C35" s="11">
        <f t="shared" ref="C35:I35" si="1">SUM(C4:C34)</f>
        <v>129914</v>
      </c>
      <c r="D35" s="11">
        <f t="shared" si="1"/>
        <v>97174</v>
      </c>
      <c r="E35" s="11">
        <f t="shared" si="1"/>
        <v>97600</v>
      </c>
      <c r="F35" s="11">
        <f t="shared" si="1"/>
        <v>70763</v>
      </c>
      <c r="G35" s="11">
        <f t="shared" si="1"/>
        <v>93600</v>
      </c>
      <c r="H35" s="11">
        <f t="shared" si="1"/>
        <v>0</v>
      </c>
      <c r="I35" s="11">
        <f t="shared" si="1"/>
        <v>0</v>
      </c>
      <c r="J35" s="11">
        <f>SUM(J4:J34)</f>
        <v>25782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+summary!I4</f>
        <v>2.16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55689.120000000003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37256</v>
      </c>
      <c r="C39" s="25"/>
      <c r="E39" s="25"/>
      <c r="G39" s="25"/>
      <c r="I39" s="25"/>
      <c r="J39" s="542">
        <v>4536.21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22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37268</v>
      </c>
      <c r="J41" s="322">
        <f>+J39+J37</f>
        <v>60225.33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37256</v>
      </c>
      <c r="B46" s="32"/>
      <c r="C46" s="32"/>
      <c r="D46" s="532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37268</v>
      </c>
      <c r="B47" s="32"/>
      <c r="C47" s="32"/>
      <c r="D47" s="355">
        <f>+J35</f>
        <v>25782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-99756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1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332</v>
      </c>
      <c r="H4" s="14" t="s">
        <v>331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330</v>
      </c>
      <c r="I5" s="14" t="s">
        <v>333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-5234</v>
      </c>
      <c r="C6" s="24">
        <v>-5000</v>
      </c>
      <c r="D6" s="24">
        <f>+G6+H6+I6</f>
        <v>-14155</v>
      </c>
      <c r="E6" s="24">
        <v>-21274</v>
      </c>
      <c r="F6" s="24">
        <f>+C6+E6-B6-D6</f>
        <v>-6885</v>
      </c>
      <c r="G6" s="14">
        <v>-14149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-5328</v>
      </c>
      <c r="C7" s="24">
        <v>-5000</v>
      </c>
      <c r="D7" s="24">
        <f t="shared" ref="D7:D36" si="0">+G7+H7+I7</f>
        <v>-21286</v>
      </c>
      <c r="E7" s="24">
        <v>-21274</v>
      </c>
      <c r="F7" s="24">
        <f t="shared" ref="F7:F36" si="1">+C7+E7-B7-D7</f>
        <v>340</v>
      </c>
      <c r="G7" s="206">
        <v>-21280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-12230</v>
      </c>
      <c r="E8" s="24">
        <v>-11843</v>
      </c>
      <c r="F8" s="24">
        <f t="shared" si="1"/>
        <v>387</v>
      </c>
      <c r="G8" s="206">
        <v>-12124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-23517</v>
      </c>
      <c r="E9" s="24">
        <v>-23304</v>
      </c>
      <c r="F9" s="24">
        <f t="shared" si="1"/>
        <v>213</v>
      </c>
      <c r="G9" s="206">
        <v>-3519</v>
      </c>
      <c r="H9" s="14">
        <v>-19999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-14568</v>
      </c>
      <c r="E10" s="24">
        <v>-14046</v>
      </c>
      <c r="F10" s="24">
        <f t="shared" si="1"/>
        <v>522</v>
      </c>
      <c r="G10" s="206">
        <v>0</v>
      </c>
      <c r="H10" s="14">
        <v>-14568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-10066</v>
      </c>
      <c r="E11" s="24">
        <v>-14442</v>
      </c>
      <c r="F11" s="24">
        <f t="shared" si="1"/>
        <v>-4376</v>
      </c>
      <c r="G11" s="206">
        <v>0</v>
      </c>
      <c r="H11" s="14">
        <v>-10070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-18440</v>
      </c>
      <c r="E12" s="24">
        <v>-14046</v>
      </c>
      <c r="F12" s="24">
        <f t="shared" si="1"/>
        <v>4394</v>
      </c>
      <c r="G12" s="206">
        <v>-18440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-4424</v>
      </c>
      <c r="E13" s="24">
        <v>-40692</v>
      </c>
      <c r="F13" s="24">
        <f t="shared" si="1"/>
        <v>-36268</v>
      </c>
      <c r="G13" s="206">
        <v>-4423</v>
      </c>
      <c r="H13" s="14">
        <v>-1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-15474</v>
      </c>
      <c r="F14" s="24">
        <f t="shared" si="1"/>
        <v>-15474</v>
      </c>
      <c r="G14" s="206"/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-28</v>
      </c>
      <c r="E15" s="24">
        <v>-15473</v>
      </c>
      <c r="F15" s="24">
        <f t="shared" si="1"/>
        <v>-15445</v>
      </c>
      <c r="G15" s="206"/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-25154</v>
      </c>
      <c r="E16" s="24">
        <v>-25367</v>
      </c>
      <c r="F16" s="24">
        <f t="shared" si="1"/>
        <v>-213</v>
      </c>
      <c r="G16" s="206"/>
      <c r="H16" s="14">
        <v>-25154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-8</v>
      </c>
      <c r="E17" s="24">
        <v>-5474</v>
      </c>
      <c r="F17" s="24">
        <f t="shared" si="1"/>
        <v>-5466</v>
      </c>
      <c r="G17" s="206"/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-11554</v>
      </c>
      <c r="E18" s="24">
        <v>-5474</v>
      </c>
      <c r="F18" s="24">
        <f t="shared" si="1"/>
        <v>6080</v>
      </c>
      <c r="G18" s="206"/>
      <c r="H18" s="14">
        <v>-11554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0</v>
      </c>
      <c r="E19" s="24"/>
      <c r="F19" s="24">
        <f t="shared" si="1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0</v>
      </c>
      <c r="E20" s="24"/>
      <c r="F20" s="24">
        <f t="shared" si="1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0</v>
      </c>
      <c r="E21" s="24"/>
      <c r="F21" s="24">
        <f t="shared" si="1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4"/>
      <c r="F22" s="24">
        <f t="shared" si="1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4"/>
      <c r="F23" s="24">
        <f t="shared" si="1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4"/>
      <c r="F24" s="24">
        <f t="shared" si="1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4"/>
      <c r="F25" s="24">
        <f t="shared" si="1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4"/>
      <c r="F26" s="24">
        <f t="shared" si="1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4"/>
      <c r="F27" s="24">
        <f t="shared" si="1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4"/>
      <c r="F28" s="24">
        <f t="shared" si="1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4"/>
      <c r="F29" s="24">
        <f t="shared" si="1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-10562</v>
      </c>
      <c r="C37" s="24">
        <f>SUM(C6:C36)</f>
        <v>-10000</v>
      </c>
      <c r="D37" s="24">
        <f>SUM(D6:D36)</f>
        <v>-155430</v>
      </c>
      <c r="E37" s="24">
        <f>SUM(E6:E36)</f>
        <v>-228183</v>
      </c>
      <c r="F37" s="24">
        <f>SUM(F6:F36)</f>
        <v>-72191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+summary!I4</f>
        <v>2.16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-155932.56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E40" s="14"/>
      <c r="F40" s="531">
        <v>417969.39</v>
      </c>
      <c r="G40" s="447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37268</v>
      </c>
      <c r="E41" s="14"/>
      <c r="F41" s="104">
        <f>+F40+F39</f>
        <v>262036.83000000002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37268</v>
      </c>
      <c r="B47" s="32"/>
      <c r="C47" s="32"/>
      <c r="D47" s="355">
        <f>+F37</f>
        <v>-72191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-67067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E42" sqref="E42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25"/>
    </row>
    <row r="18" spans="1:10" x14ac:dyDescent="0.25">
      <c r="A18" s="10">
        <v>11</v>
      </c>
      <c r="B18" s="11"/>
      <c r="C18" s="11"/>
      <c r="D18" s="11"/>
      <c r="E18" s="11">
        <v>200</v>
      </c>
      <c r="F18" s="25">
        <f t="shared" si="0"/>
        <v>200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200</v>
      </c>
      <c r="F39" s="25">
        <f>SUM(F8:F38)</f>
        <v>200</v>
      </c>
    </row>
    <row r="40" spans="1:6" x14ac:dyDescent="0.25">
      <c r="A40" s="26"/>
      <c r="C40" s="14"/>
      <c r="F40" s="253">
        <f>+summary!I4</f>
        <v>2.16</v>
      </c>
    </row>
    <row r="41" spans="1:6" x14ac:dyDescent="0.25">
      <c r="F41" s="138">
        <f>+F40*F39</f>
        <v>432</v>
      </c>
    </row>
    <row r="42" spans="1:6" x14ac:dyDescent="0.25">
      <c r="A42" s="57">
        <v>37256</v>
      </c>
      <c r="C42" s="15"/>
      <c r="F42" s="501">
        <v>34262</v>
      </c>
    </row>
    <row r="43" spans="1:6" x14ac:dyDescent="0.25">
      <c r="A43" s="57">
        <v>37268</v>
      </c>
      <c r="C43" s="48"/>
      <c r="F43" s="138">
        <f>+F42+F41</f>
        <v>34694</v>
      </c>
    </row>
    <row r="47" spans="1:6" x14ac:dyDescent="0.25">
      <c r="A47" s="32" t="s">
        <v>149</v>
      </c>
      <c r="B47" s="32"/>
      <c r="C47" s="32"/>
      <c r="D47" s="32"/>
    </row>
    <row r="48" spans="1:6" x14ac:dyDescent="0.25">
      <c r="A48" s="49">
        <f>+A42</f>
        <v>37256</v>
      </c>
      <c r="B48" s="32"/>
      <c r="C48" s="32"/>
      <c r="D48" s="496">
        <v>748</v>
      </c>
    </row>
    <row r="49" spans="1:4" x14ac:dyDescent="0.25">
      <c r="A49" s="49">
        <f>+A43</f>
        <v>37268</v>
      </c>
      <c r="B49" s="32"/>
      <c r="C49" s="32"/>
      <c r="D49" s="355">
        <f>+F39</f>
        <v>200</v>
      </c>
    </row>
    <row r="50" spans="1:4" x14ac:dyDescent="0.25">
      <c r="A50" s="32"/>
      <c r="B50" s="32"/>
      <c r="C50" s="32"/>
      <c r="D50" s="14">
        <f>+D49+D48</f>
        <v>948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C41" sqref="C41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>
        <v>1259</v>
      </c>
      <c r="D17" s="25">
        <f t="shared" si="0"/>
        <v>1259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1259</v>
      </c>
      <c r="D39" s="25">
        <f>SUM(D8:D38)</f>
        <v>1259</v>
      </c>
    </row>
    <row r="40" spans="1:4" x14ac:dyDescent="0.25">
      <c r="A40" s="26"/>
      <c r="C40" s="14"/>
      <c r="D40" s="455"/>
    </row>
    <row r="41" spans="1:4" x14ac:dyDescent="0.25">
      <c r="A41" s="57">
        <v>37256</v>
      </c>
      <c r="C41" s="15"/>
      <c r="D41" s="462">
        <v>16328</v>
      </c>
    </row>
    <row r="42" spans="1:4" x14ac:dyDescent="0.25">
      <c r="A42" s="57">
        <v>37268</v>
      </c>
      <c r="C42" s="48"/>
      <c r="D42" s="24">
        <f>+D41+D39</f>
        <v>17587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150</v>
      </c>
      <c r="B46" s="32"/>
      <c r="C46" s="32"/>
      <c r="D46" s="32"/>
    </row>
    <row r="47" spans="1:4" x14ac:dyDescent="0.25">
      <c r="A47" s="49">
        <f>+A41</f>
        <v>37256</v>
      </c>
      <c r="B47" s="32"/>
      <c r="C47" s="32"/>
      <c r="D47" s="466">
        <v>383278</v>
      </c>
    </row>
    <row r="48" spans="1:4" x14ac:dyDescent="0.25">
      <c r="A48" s="49">
        <f>+A42</f>
        <v>37268</v>
      </c>
      <c r="B48" s="32"/>
      <c r="C48" s="32"/>
      <c r="D48" s="380">
        <f>+D39*summary!I4</f>
        <v>2719.44</v>
      </c>
    </row>
    <row r="49" spans="1:4" x14ac:dyDescent="0.25">
      <c r="A49" s="32"/>
      <c r="B49" s="32"/>
      <c r="C49" s="32"/>
      <c r="D49" s="200">
        <f>+D48+D47</f>
        <v>385997.44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8" workbookViewId="0">
      <selection activeCell="A42" sqref="A42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7" t="s">
        <v>57</v>
      </c>
      <c r="L6" s="189"/>
      <c r="M6" s="2"/>
      <c r="N6" s="34"/>
    </row>
    <row r="7" spans="1:14" x14ac:dyDescent="0.25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8" t="s">
        <v>19</v>
      </c>
      <c r="I7" s="418" t="s">
        <v>20</v>
      </c>
      <c r="J7" s="419" t="s">
        <v>49</v>
      </c>
      <c r="K7" s="417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7">
        <v>5.62</v>
      </c>
      <c r="L8" s="422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7">
        <v>4.9800000000000004</v>
      </c>
      <c r="L9" s="422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7">
        <v>4.87</v>
      </c>
      <c r="L10" s="422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7">
        <v>3.82</v>
      </c>
      <c r="L11" s="422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7">
        <v>3.2</v>
      </c>
      <c r="L12" s="422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29">
        <v>-85134</v>
      </c>
      <c r="C13" s="11">
        <v>-87137</v>
      </c>
      <c r="D13" s="25">
        <f t="shared" si="0"/>
        <v>-2003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7">
        <v>2.77</v>
      </c>
      <c r="L13" s="422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>
        <v>-85234</v>
      </c>
      <c r="C14" s="11">
        <v>-101799</v>
      </c>
      <c r="D14" s="25">
        <f t="shared" si="0"/>
        <v>-16565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7">
        <v>2.77</v>
      </c>
      <c r="L14" s="422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>
        <v>-87361</v>
      </c>
      <c r="C15" s="11">
        <v>-95299</v>
      </c>
      <c r="D15" s="25">
        <f t="shared" si="0"/>
        <v>-7938</v>
      </c>
      <c r="G15" s="443"/>
      <c r="H15" s="119"/>
      <c r="I15" s="119"/>
      <c r="J15" s="119"/>
      <c r="K15" s="417"/>
      <c r="L15" s="422"/>
      <c r="M15" s="104"/>
      <c r="N15" s="34"/>
    </row>
    <row r="16" spans="1:14" ht="15" customHeight="1" x14ac:dyDescent="0.25">
      <c r="A16" s="10">
        <v>11</v>
      </c>
      <c r="B16" s="11">
        <v>-89069</v>
      </c>
      <c r="C16" s="11">
        <v>-85299</v>
      </c>
      <c r="D16" s="25">
        <f t="shared" si="0"/>
        <v>3770</v>
      </c>
      <c r="G16" s="444"/>
      <c r="H16" s="34"/>
      <c r="I16" s="34"/>
      <c r="J16" s="189"/>
      <c r="K16" s="417"/>
      <c r="L16" s="189"/>
      <c r="M16" s="2"/>
      <c r="N16" s="34"/>
    </row>
    <row r="17" spans="1:14" ht="15" customHeight="1" x14ac:dyDescent="0.25">
      <c r="A17" s="10">
        <v>12</v>
      </c>
      <c r="B17" s="11">
        <v>-87074</v>
      </c>
      <c r="C17" s="11">
        <v>-86648</v>
      </c>
      <c r="D17" s="25">
        <f t="shared" si="0"/>
        <v>426</v>
      </c>
      <c r="G17" s="444"/>
      <c r="H17" s="34"/>
      <c r="I17" s="34"/>
      <c r="J17" s="310">
        <f>SUM(J8:J16)</f>
        <v>130492</v>
      </c>
      <c r="K17" s="417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7"/>
      <c r="L18" s="189"/>
      <c r="M18" s="2"/>
      <c r="N18" s="34"/>
    </row>
    <row r="19" spans="1:14" x14ac:dyDescent="0.25">
      <c r="A19" s="10">
        <v>14</v>
      </c>
      <c r="B19" s="11"/>
      <c r="C19" s="11"/>
      <c r="D19" s="25">
        <f t="shared" si="0"/>
        <v>0</v>
      </c>
      <c r="G19" s="118" t="s">
        <v>184</v>
      </c>
      <c r="H19" s="119">
        <f>+B37</f>
        <v>-1042212</v>
      </c>
      <c r="I19" s="119">
        <f>+C37</f>
        <v>-1039375</v>
      </c>
      <c r="J19" s="119">
        <f>+I19-H19</f>
        <v>2837</v>
      </c>
      <c r="K19" s="417">
        <f>+D38</f>
        <v>2.16</v>
      </c>
      <c r="L19" s="422">
        <f>+K19*J19</f>
        <v>6127.92</v>
      </c>
      <c r="M19" s="2"/>
      <c r="N19" s="34"/>
    </row>
    <row r="20" spans="1:14" x14ac:dyDescent="0.25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7"/>
      <c r="L20" s="422"/>
      <c r="M20" s="2"/>
      <c r="N20" s="34"/>
    </row>
    <row r="21" spans="1:14" x14ac:dyDescent="0.25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13"/>
      <c r="L23" s="110"/>
      <c r="M23" s="2"/>
      <c r="N23" s="34"/>
    </row>
    <row r="24" spans="1:14" x14ac:dyDescent="0.25">
      <c r="A24" s="10">
        <v>19</v>
      </c>
      <c r="B24" s="129"/>
      <c r="C24" s="11"/>
      <c r="D24" s="25">
        <f t="shared" si="0"/>
        <v>0</v>
      </c>
      <c r="G24" s="2" t="s">
        <v>185</v>
      </c>
      <c r="H24" s="24"/>
      <c r="I24" s="24"/>
      <c r="J24" s="24">
        <f>+J19+J17</f>
        <v>133329</v>
      </c>
      <c r="K24" s="413"/>
      <c r="L24" s="110">
        <f>+L19+L17</f>
        <v>87813.019999999829</v>
      </c>
      <c r="M24" s="2"/>
      <c r="N24" s="34"/>
    </row>
    <row r="25" spans="1:14" x14ac:dyDescent="0.25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13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13"/>
      <c r="L26" s="24">
        <f>+L24/K19</f>
        <v>40654.175925925847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13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13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-1042212</v>
      </c>
      <c r="C37" s="11">
        <f>SUM(C6:C36)</f>
        <v>-1039375</v>
      </c>
      <c r="D37" s="25">
        <f>SUM(D6:D36)</f>
        <v>2837</v>
      </c>
    </row>
    <row r="38" spans="1:4" x14ac:dyDescent="0.25">
      <c r="A38" s="26"/>
      <c r="C38" s="14"/>
      <c r="D38" s="329">
        <f>+summary!I4</f>
        <v>2.16</v>
      </c>
    </row>
    <row r="39" spans="1:4" x14ac:dyDescent="0.25">
      <c r="D39" s="138">
        <f>+D38*D37</f>
        <v>6127.92</v>
      </c>
    </row>
    <row r="40" spans="1:4" x14ac:dyDescent="0.25">
      <c r="A40" s="57">
        <v>37256</v>
      </c>
      <c r="C40" s="15"/>
      <c r="D40" s="537">
        <v>178976.97</v>
      </c>
    </row>
    <row r="41" spans="1:4" x14ac:dyDescent="0.25">
      <c r="A41" s="57">
        <v>37268</v>
      </c>
      <c r="C41" s="48"/>
      <c r="D41" s="138">
        <f>+D40+D39</f>
        <v>185104.89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37256</v>
      </c>
      <c r="B45" s="32"/>
      <c r="C45" s="32"/>
      <c r="D45" s="532">
        <v>173146</v>
      </c>
    </row>
    <row r="46" spans="1:4" x14ac:dyDescent="0.25">
      <c r="A46" s="49">
        <f>+A41</f>
        <v>37268</v>
      </c>
      <c r="B46" s="32"/>
      <c r="C46" s="32"/>
      <c r="D46" s="355">
        <f>+D37</f>
        <v>2837</v>
      </c>
    </row>
    <row r="47" spans="1:4" x14ac:dyDescent="0.25">
      <c r="A47" s="32"/>
      <c r="B47" s="32"/>
      <c r="C47" s="32"/>
      <c r="D47" s="14">
        <f>+D46+D45</f>
        <v>175983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36" workbookViewId="0">
      <selection activeCell="C41" sqref="C41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>
        <v>27677</v>
      </c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5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5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5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5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5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5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5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5">
      <c r="A14" s="10">
        <v>9</v>
      </c>
      <c r="B14" s="129">
        <v>31999</v>
      </c>
      <c r="C14" s="11">
        <v>32012</v>
      </c>
      <c r="D14" s="25">
        <f t="shared" si="0"/>
        <v>13</v>
      </c>
    </row>
    <row r="15" spans="1:5" x14ac:dyDescent="0.25">
      <c r="A15" s="10">
        <v>10</v>
      </c>
      <c r="B15" s="129">
        <v>33291</v>
      </c>
      <c r="C15" s="11">
        <v>32013</v>
      </c>
      <c r="D15" s="25">
        <f t="shared" si="0"/>
        <v>-1278</v>
      </c>
    </row>
    <row r="16" spans="1:5" x14ac:dyDescent="0.25">
      <c r="A16" s="10">
        <v>11</v>
      </c>
      <c r="B16" s="129">
        <v>35895</v>
      </c>
      <c r="C16" s="11">
        <v>32013</v>
      </c>
      <c r="D16" s="25">
        <f t="shared" si="0"/>
        <v>-3882</v>
      </c>
    </row>
    <row r="17" spans="1:4" x14ac:dyDescent="0.25">
      <c r="A17" s="10">
        <v>12</v>
      </c>
      <c r="B17" s="129">
        <v>33880</v>
      </c>
      <c r="C17" s="11">
        <v>32013</v>
      </c>
      <c r="D17" s="25">
        <f t="shared" si="0"/>
        <v>-1867</v>
      </c>
    </row>
    <row r="18" spans="1:4" x14ac:dyDescent="0.25">
      <c r="A18" s="10">
        <v>13</v>
      </c>
      <c r="B18" s="129"/>
      <c r="C18" s="11"/>
      <c r="D18" s="25">
        <f t="shared" si="0"/>
        <v>0</v>
      </c>
    </row>
    <row r="19" spans="1:4" x14ac:dyDescent="0.25">
      <c r="A19" s="10">
        <v>14</v>
      </c>
      <c r="B19" s="129"/>
      <c r="C19" s="11"/>
      <c r="D19" s="25">
        <f t="shared" si="0"/>
        <v>0</v>
      </c>
    </row>
    <row r="20" spans="1:4" x14ac:dyDescent="0.25">
      <c r="A20" s="10">
        <v>15</v>
      </c>
      <c r="B20" s="129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372308</v>
      </c>
      <c r="C37" s="11">
        <f>SUM(C6:C36)</f>
        <v>376094</v>
      </c>
      <c r="D37" s="25">
        <f>SUM(D6:D36)</f>
        <v>3786</v>
      </c>
    </row>
    <row r="38" spans="1:4" x14ac:dyDescent="0.25">
      <c r="A38" s="26"/>
      <c r="B38" s="31"/>
      <c r="C38" s="14"/>
      <c r="D38" s="329">
        <f>+summary!I5</f>
        <v>2.1800000000000002</v>
      </c>
    </row>
    <row r="39" spans="1:4" x14ac:dyDescent="0.25">
      <c r="D39" s="138">
        <f>+D38*D37</f>
        <v>8253.4800000000014</v>
      </c>
    </row>
    <row r="40" spans="1:4" x14ac:dyDescent="0.25">
      <c r="A40" s="57">
        <v>37256</v>
      </c>
      <c r="C40" s="15"/>
      <c r="D40" s="537">
        <v>85001.93</v>
      </c>
    </row>
    <row r="41" spans="1:4" x14ac:dyDescent="0.25">
      <c r="A41" s="57">
        <v>37268</v>
      </c>
      <c r="C41" s="48"/>
      <c r="D41" s="138">
        <f>+D40+D39</f>
        <v>93255.409999999989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37256</v>
      </c>
      <c r="B45" s="32"/>
      <c r="C45" s="32"/>
      <c r="D45" s="532">
        <v>54581</v>
      </c>
    </row>
    <row r="46" spans="1:4" x14ac:dyDescent="0.25">
      <c r="A46" s="49">
        <f>+A41</f>
        <v>37268</v>
      </c>
      <c r="B46" s="32"/>
      <c r="C46" s="32"/>
      <c r="D46" s="355">
        <f>+D37</f>
        <v>3786</v>
      </c>
    </row>
    <row r="47" spans="1:4" x14ac:dyDescent="0.25">
      <c r="A47" s="32"/>
      <c r="B47" s="32"/>
      <c r="C47" s="32"/>
      <c r="D47" s="14">
        <f>+D46+D45</f>
        <v>58367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41" sqref="A41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12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4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11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11" t="s">
        <v>39</v>
      </c>
      <c r="N4" s="4" t="s">
        <v>19</v>
      </c>
      <c r="O4" s="4" t="s">
        <v>20</v>
      </c>
      <c r="P4" s="409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251</v>
      </c>
      <c r="N5" s="14"/>
      <c r="O5" s="14"/>
      <c r="P5" s="14">
        <v>-34361</v>
      </c>
      <c r="Q5" s="364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11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4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11">
        <v>36892</v>
      </c>
      <c r="N7" s="24">
        <v>18949781</v>
      </c>
      <c r="O7" s="14">
        <v>18975457</v>
      </c>
      <c r="P7" s="14">
        <f t="shared" si="1"/>
        <v>25676</v>
      </c>
      <c r="Q7" s="364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11">
        <v>36923</v>
      </c>
      <c r="N8" s="24">
        <v>15256233</v>
      </c>
      <c r="O8" s="14">
        <v>15290953</v>
      </c>
      <c r="P8" s="14">
        <f t="shared" si="1"/>
        <v>34720</v>
      </c>
      <c r="Q8" s="364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11">
        <v>36951</v>
      </c>
      <c r="N9" s="24">
        <v>17049350</v>
      </c>
      <c r="O9" s="14">
        <v>17089226</v>
      </c>
      <c r="P9" s="14">
        <f t="shared" si="1"/>
        <v>39876</v>
      </c>
      <c r="Q9" s="364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11">
        <v>36982</v>
      </c>
      <c r="N10" s="24">
        <v>17652369</v>
      </c>
      <c r="O10" s="14">
        <v>17743987</v>
      </c>
      <c r="P10" s="14">
        <f t="shared" si="1"/>
        <v>91618</v>
      </c>
      <c r="Q10" s="364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105839</v>
      </c>
      <c r="I11" s="11">
        <v>117742</v>
      </c>
      <c r="J11" s="11">
        <f t="shared" si="0"/>
        <v>13137</v>
      </c>
      <c r="M11" s="411">
        <v>37012</v>
      </c>
      <c r="N11" s="24">
        <v>16124989</v>
      </c>
      <c r="O11" s="14">
        <v>16282021</v>
      </c>
      <c r="P11" s="14">
        <f t="shared" si="1"/>
        <v>157032</v>
      </c>
      <c r="Q11" s="364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292995</v>
      </c>
      <c r="C12" s="11">
        <v>286176</v>
      </c>
      <c r="D12" s="11">
        <v>41960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-6881</v>
      </c>
      <c r="M12" s="411">
        <v>37043</v>
      </c>
      <c r="N12" s="24">
        <v>15928675</v>
      </c>
      <c r="O12" s="14">
        <v>15936227</v>
      </c>
      <c r="P12" s="14">
        <f t="shared" si="1"/>
        <v>7552</v>
      </c>
      <c r="Q12" s="364">
        <v>2.58</v>
      </c>
      <c r="R12" s="200">
        <f t="shared" si="2"/>
        <v>19484.16</v>
      </c>
      <c r="S12" s="488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316062</v>
      </c>
      <c r="C13" s="11">
        <v>311012</v>
      </c>
      <c r="D13" s="129">
        <v>41004</v>
      </c>
      <c r="E13" s="11">
        <v>38434</v>
      </c>
      <c r="F13" s="129">
        <v>42602</v>
      </c>
      <c r="G13" s="11">
        <v>43615</v>
      </c>
      <c r="H13" s="129">
        <v>130628</v>
      </c>
      <c r="I13" s="11">
        <v>126730</v>
      </c>
      <c r="J13" s="11">
        <f t="shared" si="0"/>
        <v>-10505</v>
      </c>
      <c r="M13" s="411">
        <v>37073</v>
      </c>
      <c r="N13" s="24">
        <v>16669639</v>
      </c>
      <c r="O13" s="14">
        <v>16693576</v>
      </c>
      <c r="P13" s="14">
        <f t="shared" si="1"/>
        <v>23937</v>
      </c>
      <c r="Q13" s="364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312745</v>
      </c>
      <c r="C14" s="11">
        <v>310787</v>
      </c>
      <c r="D14" s="11">
        <v>40954</v>
      </c>
      <c r="E14" s="11">
        <v>39920</v>
      </c>
      <c r="F14" s="11">
        <v>42342</v>
      </c>
      <c r="G14" s="11">
        <v>43615</v>
      </c>
      <c r="H14" s="11">
        <v>120871</v>
      </c>
      <c r="I14" s="11">
        <v>118898</v>
      </c>
      <c r="J14" s="11">
        <f t="shared" si="0"/>
        <v>-3692</v>
      </c>
      <c r="M14" s="411">
        <v>37104</v>
      </c>
      <c r="N14" s="24">
        <v>17850737</v>
      </c>
      <c r="O14" s="14">
        <v>17815859</v>
      </c>
      <c r="P14" s="14">
        <f>+O14-N14</f>
        <v>-34878</v>
      </c>
      <c r="Q14" s="364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318188</v>
      </c>
      <c r="C15" s="11">
        <v>317298</v>
      </c>
      <c r="D15" s="11">
        <v>40993</v>
      </c>
      <c r="E15" s="11">
        <v>39423</v>
      </c>
      <c r="F15" s="11">
        <v>45439</v>
      </c>
      <c r="G15" s="11">
        <v>43615</v>
      </c>
      <c r="H15" s="11">
        <v>119456</v>
      </c>
      <c r="I15" s="11">
        <v>122363</v>
      </c>
      <c r="J15" s="11">
        <f t="shared" si="0"/>
        <v>-1377</v>
      </c>
      <c r="M15" s="411">
        <v>37135</v>
      </c>
      <c r="N15" s="24">
        <v>16552948</v>
      </c>
      <c r="O15" s="14">
        <v>16508018</v>
      </c>
      <c r="P15" s="14">
        <f>+O15-N15</f>
        <v>-44930</v>
      </c>
      <c r="Q15" s="364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11">
        <v>37165</v>
      </c>
      <c r="N16" s="24">
        <v>17924814</v>
      </c>
      <c r="O16" s="14">
        <v>17872479</v>
      </c>
      <c r="P16" s="14">
        <f>+O16-N16</f>
        <v>-52335</v>
      </c>
      <c r="Q16" s="364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11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4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11">
        <v>37229</v>
      </c>
      <c r="N18" s="24"/>
      <c r="O18" s="14"/>
      <c r="P18" s="14">
        <f>+O18-N18</f>
        <v>0</v>
      </c>
      <c r="Q18" s="364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11"/>
      <c r="N21" s="24"/>
      <c r="O21" s="14"/>
      <c r="P21" s="14">
        <f>SUM(P5:P20)</f>
        <v>135708</v>
      </c>
      <c r="Q21" s="364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11"/>
      <c r="N22" s="24"/>
      <c r="O22" s="14"/>
      <c r="P22" s="201">
        <v>1.98</v>
      </c>
      <c r="Q22" s="364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11"/>
      <c r="N23" s="14">
        <v>1378106</v>
      </c>
      <c r="O23" s="14">
        <v>1316146</v>
      </c>
      <c r="P23" s="201">
        <f>+P22*P21</f>
        <v>268701.84000000003</v>
      </c>
      <c r="Q23" s="364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11"/>
      <c r="N24" s="14">
        <v>9216070</v>
      </c>
      <c r="O24" s="14">
        <v>9272400</v>
      </c>
      <c r="P24" s="15"/>
      <c r="Q24" s="364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11"/>
      <c r="N25" s="24">
        <v>3546065</v>
      </c>
      <c r="O25" s="24">
        <v>3512740</v>
      </c>
      <c r="P25" s="110"/>
      <c r="Q25" s="413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13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13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13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13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13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13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64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4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4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3462176</v>
      </c>
      <c r="C35" s="11">
        <f t="shared" ref="C35:I35" si="3">SUM(C4:C34)</f>
        <v>3466949</v>
      </c>
      <c r="D35" s="11">
        <f t="shared" si="3"/>
        <v>471043</v>
      </c>
      <c r="E35" s="11">
        <f t="shared" si="3"/>
        <v>467913</v>
      </c>
      <c r="F35" s="11">
        <f t="shared" si="3"/>
        <v>481776</v>
      </c>
      <c r="G35" s="11">
        <f t="shared" si="3"/>
        <v>536194</v>
      </c>
      <c r="H35" s="11">
        <f t="shared" si="3"/>
        <v>1450922</v>
      </c>
      <c r="I35" s="11">
        <f t="shared" si="3"/>
        <v>1416541</v>
      </c>
      <c r="J35" s="11">
        <f>SUM(J4:J34)</f>
        <v>21680</v>
      </c>
      <c r="M35" s="32"/>
      <c r="N35" s="24"/>
      <c r="O35" s="32"/>
      <c r="P35" s="15"/>
      <c r="Q35" s="364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64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64"/>
      <c r="R37" s="110"/>
      <c r="S37" s="19"/>
      <c r="T37" s="104"/>
      <c r="U37" s="16"/>
      <c r="V37" s="15"/>
      <c r="W37" s="13"/>
    </row>
    <row r="38" spans="1:23" x14ac:dyDescent="0.25">
      <c r="A38" s="56">
        <v>37256</v>
      </c>
      <c r="C38" s="25"/>
      <c r="E38" s="25"/>
      <c r="G38" s="25"/>
      <c r="I38" s="25"/>
      <c r="J38" s="494">
        <v>0</v>
      </c>
      <c r="M38" s="32"/>
      <c r="N38" s="24"/>
      <c r="O38" s="32"/>
      <c r="P38" s="15"/>
      <c r="Q38" s="364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64"/>
      <c r="R39" s="110"/>
      <c r="S39" s="19"/>
      <c r="T39" s="104"/>
      <c r="U39" s="16"/>
      <c r="V39" s="15"/>
      <c r="W39" s="13"/>
    </row>
    <row r="40" spans="1:23" x14ac:dyDescent="0.25">
      <c r="A40" s="33">
        <v>37268</v>
      </c>
      <c r="J40" s="51">
        <f>+J38+J35</f>
        <v>21680</v>
      </c>
      <c r="M40" s="32"/>
      <c r="N40" s="24"/>
      <c r="O40" s="32"/>
      <c r="P40" s="15"/>
      <c r="Q40" s="364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64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64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64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4"/>
      <c r="R44" s="110"/>
      <c r="S44" s="19"/>
      <c r="T44" s="104"/>
      <c r="U44" s="16"/>
      <c r="V44" s="15"/>
      <c r="W44" s="13"/>
    </row>
    <row r="45" spans="1:23" x14ac:dyDescent="0.25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4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37256</v>
      </c>
      <c r="B46" s="32"/>
      <c r="C46" s="32"/>
      <c r="D46" s="493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4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37268</v>
      </c>
      <c r="B47" s="32"/>
      <c r="C47" s="32"/>
      <c r="D47" s="380">
        <f>+J35*'by type_area'!J3</f>
        <v>46178.399999999994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4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46178.399999999994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4"/>
      <c r="R48" s="15"/>
      <c r="S48" s="19"/>
      <c r="T48" s="32"/>
    </row>
    <row r="49" spans="1:20" x14ac:dyDescent="0.25">
      <c r="A49" s="139"/>
      <c r="B49" s="119"/>
      <c r="C49" s="140"/>
      <c r="D49" s="381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4"/>
      <c r="R49" s="15"/>
      <c r="S49" s="32"/>
      <c r="T49" s="32"/>
    </row>
    <row r="50" spans="1:20" x14ac:dyDescent="0.25">
      <c r="A50" s="10"/>
      <c r="B50" s="11"/>
      <c r="C50" s="11"/>
      <c r="D50" s="382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4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4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4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4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4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4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4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4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4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4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4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4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4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4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4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4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4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4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3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3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3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3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3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3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3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3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3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3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3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3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3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3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13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13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13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13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13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13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13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3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4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4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4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4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4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4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4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4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4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4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4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4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4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4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4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4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4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4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4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14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9"/>
      <c r="Q255" s="143"/>
      <c r="R255" s="409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0"/>
      <c r="Q256" s="415"/>
      <c r="R256" s="410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3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3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3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3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3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3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3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3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3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3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3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3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3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3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3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3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3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3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3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3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3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3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3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3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3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3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3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3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3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3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3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3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14"/>
      <c r="S295" s="1"/>
    </row>
    <row r="296" spans="9:21" x14ac:dyDescent="0.25">
      <c r="K296" s="2"/>
      <c r="M296" s="30"/>
      <c r="N296" s="4"/>
      <c r="O296" s="4"/>
      <c r="P296" s="409"/>
      <c r="Q296" s="143"/>
      <c r="R296" s="409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10"/>
      <c r="Q297" s="415"/>
      <c r="R297" s="410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13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13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13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13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13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13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13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13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13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13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13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13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13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13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13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13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13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13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13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13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13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13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13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13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13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13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13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13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13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13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13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13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14"/>
      <c r="S337" s="1"/>
    </row>
    <row r="338" spans="11:21" x14ac:dyDescent="0.25">
      <c r="K338" s="2"/>
      <c r="M338" s="30"/>
      <c r="N338" s="4"/>
      <c r="O338" s="4"/>
      <c r="P338" s="409"/>
      <c r="Q338" s="143"/>
      <c r="R338" s="409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10"/>
      <c r="Q339" s="415"/>
      <c r="R339" s="410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13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13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13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13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13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13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13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13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13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13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13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13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13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13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13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13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13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13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13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13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13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13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13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13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13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13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13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13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13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13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13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13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14"/>
      <c r="S379" s="1"/>
    </row>
    <row r="380" spans="11:21" x14ac:dyDescent="0.25">
      <c r="K380" s="2"/>
      <c r="M380" s="30"/>
      <c r="N380" s="4"/>
      <c r="O380" s="4"/>
      <c r="P380" s="409"/>
      <c r="Q380" s="143"/>
      <c r="R380" s="409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10"/>
      <c r="Q381" s="415"/>
      <c r="R381" s="410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13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13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13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13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13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13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13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13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13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13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13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13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13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13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13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13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13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13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13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13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13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13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13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13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13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13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13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13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13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13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13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13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14"/>
      <c r="S423" s="1"/>
    </row>
    <row r="424" spans="11:21" x14ac:dyDescent="0.25">
      <c r="K424" s="2"/>
      <c r="M424" s="30"/>
      <c r="N424" s="4"/>
      <c r="O424" s="4"/>
      <c r="P424" s="409"/>
      <c r="Q424" s="143"/>
      <c r="R424" s="409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10"/>
      <c r="Q425" s="415"/>
      <c r="R425" s="410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13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13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13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13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13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13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13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13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13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13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13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13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13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13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13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13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13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13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13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13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13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13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13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13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13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13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13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13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13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13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13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13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14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09"/>
      <c r="Q466" s="143"/>
      <c r="R466" s="40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10"/>
      <c r="Q467" s="415"/>
      <c r="R467" s="41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1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1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1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1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1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1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1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1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1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1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1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1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1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1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1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1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1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1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1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1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1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1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1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1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1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1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1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1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1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1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1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1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36" workbookViewId="0">
      <selection activeCell="C41" sqref="C41"/>
    </sheetView>
  </sheetViews>
  <sheetFormatPr defaultRowHeight="13.2" x14ac:dyDescent="0.25"/>
  <sheetData>
    <row r="3" spans="1:4" ht="13.8" x14ac:dyDescent="0.25">
      <c r="A3" s="134"/>
      <c r="B3" s="34" t="s">
        <v>131</v>
      </c>
    </row>
    <row r="4" spans="1:4" x14ac:dyDescent="0.25">
      <c r="A4" s="3"/>
      <c r="B4" s="59" t="s">
        <v>132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5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5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5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5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5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5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5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5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5">
      <c r="A15" s="10">
        <v>10</v>
      </c>
      <c r="B15" s="11">
        <v>38336</v>
      </c>
      <c r="C15" s="11">
        <v>40659</v>
      </c>
      <c r="D15" s="25">
        <f t="shared" si="0"/>
        <v>2323</v>
      </c>
    </row>
    <row r="16" spans="1:4" x14ac:dyDescent="0.25">
      <c r="A16" s="10">
        <v>11</v>
      </c>
      <c r="B16" s="11">
        <v>45961</v>
      </c>
      <c r="C16" s="11">
        <v>45820</v>
      </c>
      <c r="D16" s="25">
        <f t="shared" si="0"/>
        <v>-141</v>
      </c>
    </row>
    <row r="17" spans="1:4" x14ac:dyDescent="0.25">
      <c r="A17" s="10">
        <v>12</v>
      </c>
      <c r="B17" s="11">
        <v>58658</v>
      </c>
      <c r="C17" s="11">
        <v>58864</v>
      </c>
      <c r="D17" s="25">
        <f t="shared" si="0"/>
        <v>206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541309</v>
      </c>
      <c r="C37" s="11">
        <f>SUM(C6:C36)</f>
        <v>528980</v>
      </c>
      <c r="D37" s="25">
        <f>SUM(D6:D36)</f>
        <v>-12329</v>
      </c>
    </row>
    <row r="38" spans="1:4" x14ac:dyDescent="0.25">
      <c r="A38" s="26"/>
      <c r="C38" s="14"/>
      <c r="D38" s="329">
        <f>+summary!I5</f>
        <v>2.1800000000000002</v>
      </c>
    </row>
    <row r="39" spans="1:4" x14ac:dyDescent="0.25">
      <c r="D39" s="138">
        <f>+D38*D37</f>
        <v>-26877.22</v>
      </c>
    </row>
    <row r="40" spans="1:4" x14ac:dyDescent="0.25">
      <c r="A40" s="57">
        <v>37256</v>
      </c>
      <c r="C40" s="15"/>
      <c r="D40" s="540">
        <v>40735.550000000003</v>
      </c>
    </row>
    <row r="41" spans="1:4" x14ac:dyDescent="0.25">
      <c r="A41" s="57">
        <v>37268</v>
      </c>
      <c r="C41" s="48"/>
      <c r="D41" s="138">
        <f>+D40+D39</f>
        <v>13858.330000000002</v>
      </c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19256</v>
      </c>
    </row>
    <row r="47" spans="1:4" x14ac:dyDescent="0.25">
      <c r="A47" s="49">
        <f>+A41</f>
        <v>37268</v>
      </c>
      <c r="B47" s="32"/>
      <c r="C47" s="32"/>
      <c r="D47" s="355">
        <f>+D37</f>
        <v>-12329</v>
      </c>
    </row>
    <row r="48" spans="1:4" x14ac:dyDescent="0.25">
      <c r="A48" s="32"/>
      <c r="B48" s="32"/>
      <c r="C48" s="32"/>
      <c r="D48" s="14">
        <f>+D47+D46</f>
        <v>6927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3" workbookViewId="0">
      <selection activeCell="B41" sqref="B41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31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-2</v>
      </c>
      <c r="C6" s="11"/>
      <c r="D6" s="25">
        <f>+C6-B6</f>
        <v>2</v>
      </c>
    </row>
    <row r="7" spans="1:13" x14ac:dyDescent="0.25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5">
      <c r="A8" s="10">
        <v>3</v>
      </c>
      <c r="B8" s="11"/>
      <c r="C8" s="11"/>
      <c r="D8" s="25">
        <f t="shared" si="0"/>
        <v>0</v>
      </c>
    </row>
    <row r="9" spans="1:13" x14ac:dyDescent="0.25">
      <c r="A9" s="10">
        <v>4</v>
      </c>
      <c r="B9" s="11"/>
      <c r="C9" s="11"/>
      <c r="D9" s="25">
        <f t="shared" si="0"/>
        <v>0</v>
      </c>
    </row>
    <row r="10" spans="1:13" x14ac:dyDescent="0.25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5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5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5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7" t="s">
        <v>174</v>
      </c>
      <c r="M13" s="189"/>
    </row>
    <row r="14" spans="1:13" x14ac:dyDescent="0.25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8" t="s">
        <v>19</v>
      </c>
      <c r="J14" s="418" t="s">
        <v>20</v>
      </c>
      <c r="K14" s="419" t="s">
        <v>49</v>
      </c>
      <c r="L14" s="417" t="s">
        <v>15</v>
      </c>
      <c r="M14" s="189" t="s">
        <v>27</v>
      </c>
    </row>
    <row r="15" spans="1:13" x14ac:dyDescent="0.25">
      <c r="A15" s="10">
        <v>10</v>
      </c>
      <c r="B15" s="11">
        <v>-532</v>
      </c>
      <c r="C15" s="11"/>
      <c r="D15" s="25">
        <f t="shared" si="0"/>
        <v>532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-566</v>
      </c>
      <c r="C16" s="11"/>
      <c r="D16" s="25">
        <f t="shared" si="0"/>
        <v>566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7">
        <v>8.2100000000000009</v>
      </c>
      <c r="M16" s="422">
        <f t="shared" ref="M16:M22" si="2">+L16*K16</f>
        <v>-148748.78000000003</v>
      </c>
    </row>
    <row r="17" spans="1:15" x14ac:dyDescent="0.25">
      <c r="A17" s="10">
        <v>12</v>
      </c>
      <c r="B17" s="11">
        <v>-634</v>
      </c>
      <c r="C17" s="11"/>
      <c r="D17" s="25">
        <f t="shared" si="0"/>
        <v>634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7">
        <v>5.62</v>
      </c>
      <c r="M17" s="422">
        <f t="shared" si="2"/>
        <v>-91100.2</v>
      </c>
    </row>
    <row r="18" spans="1:15" x14ac:dyDescent="0.25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7">
        <v>4.9800000000000004</v>
      </c>
      <c r="M18" s="422">
        <f t="shared" si="2"/>
        <v>-118748.1</v>
      </c>
    </row>
    <row r="19" spans="1:15" x14ac:dyDescent="0.25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7">
        <v>4.87</v>
      </c>
      <c r="M19" s="422">
        <f t="shared" si="2"/>
        <v>63012.93</v>
      </c>
      <c r="O19" s="259"/>
    </row>
    <row r="20" spans="1:15" x14ac:dyDescent="0.25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7">
        <v>3.82</v>
      </c>
      <c r="M20" s="422">
        <f t="shared" si="2"/>
        <v>32531.119999999999</v>
      </c>
    </row>
    <row r="21" spans="1:15" x14ac:dyDescent="0.25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7">
        <v>3.2</v>
      </c>
      <c r="M21" s="422">
        <f t="shared" si="2"/>
        <v>-47644.800000000003</v>
      </c>
    </row>
    <row r="22" spans="1:15" x14ac:dyDescent="0.25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7">
        <v>2.77</v>
      </c>
      <c r="M22" s="423">
        <f t="shared" si="2"/>
        <v>-43139.98</v>
      </c>
    </row>
    <row r="23" spans="1:15" ht="13.8" thickBot="1" x14ac:dyDescent="0.3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20"/>
      <c r="M23" s="421">
        <f>SUM(M16:M22)</f>
        <v>-353837.81000000006</v>
      </c>
      <c r="O23" s="259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-10716</v>
      </c>
      <c r="C37" s="11">
        <f>SUM(C6:C36)</f>
        <v>1589</v>
      </c>
      <c r="D37" s="25">
        <f>SUM(D6:D36)</f>
        <v>12305</v>
      </c>
    </row>
    <row r="38" spans="1:4" x14ac:dyDescent="0.25">
      <c r="A38" s="26"/>
      <c r="C38" s="14"/>
      <c r="D38" s="329">
        <f>+summary!I4</f>
        <v>2.16</v>
      </c>
    </row>
    <row r="39" spans="1:4" x14ac:dyDescent="0.25">
      <c r="D39" s="138">
        <f>+D38*D37</f>
        <v>26578.800000000003</v>
      </c>
    </row>
    <row r="40" spans="1:4" x14ac:dyDescent="0.25">
      <c r="A40" s="57">
        <v>37256</v>
      </c>
      <c r="C40" s="15"/>
      <c r="D40" s="537">
        <v>-355805</v>
      </c>
    </row>
    <row r="41" spans="1:4" x14ac:dyDescent="0.25">
      <c r="A41" s="57">
        <v>37268</v>
      </c>
      <c r="C41" s="48"/>
      <c r="D41" s="138">
        <f>+D40+D39</f>
        <v>-329226.2</v>
      </c>
    </row>
    <row r="47" spans="1:4" x14ac:dyDescent="0.25">
      <c r="A47" s="32" t="s">
        <v>149</v>
      </c>
      <c r="B47" s="32"/>
      <c r="C47" s="32"/>
      <c r="D47" s="32"/>
    </row>
    <row r="48" spans="1:4" x14ac:dyDescent="0.25">
      <c r="A48" s="49">
        <f>+A40</f>
        <v>37256</v>
      </c>
      <c r="B48" s="32"/>
      <c r="C48" s="32"/>
      <c r="D48" s="532">
        <v>-44621</v>
      </c>
    </row>
    <row r="49" spans="1:4" x14ac:dyDescent="0.25">
      <c r="A49" s="49">
        <f>+A41</f>
        <v>37268</v>
      </c>
      <c r="B49" s="32"/>
      <c r="C49" s="32"/>
      <c r="D49" s="355">
        <f>+D37</f>
        <v>12305</v>
      </c>
    </row>
    <row r="50" spans="1:4" x14ac:dyDescent="0.25">
      <c r="A50" s="32"/>
      <c r="B50" s="32"/>
      <c r="C50" s="32"/>
      <c r="D50" s="14">
        <f>+D49+D48</f>
        <v>-32316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E30" sqref="E3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31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5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5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5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5">
      <c r="A14" s="10">
        <v>9</v>
      </c>
      <c r="B14" s="11">
        <v>-25195</v>
      </c>
      <c r="C14" s="11">
        <v>-20832</v>
      </c>
      <c r="D14" s="25">
        <f t="shared" si="0"/>
        <v>4363</v>
      </c>
    </row>
    <row r="15" spans="1:4" x14ac:dyDescent="0.25">
      <c r="A15" s="10">
        <v>10</v>
      </c>
      <c r="B15" s="11">
        <v>-33303</v>
      </c>
      <c r="C15" s="11">
        <v>-32500</v>
      </c>
      <c r="D15" s="25">
        <f t="shared" si="0"/>
        <v>803</v>
      </c>
    </row>
    <row r="16" spans="1:4" x14ac:dyDescent="0.25">
      <c r="A16" s="10">
        <v>11</v>
      </c>
      <c r="B16" s="11">
        <v>-25560</v>
      </c>
      <c r="C16" s="11">
        <v>-26902</v>
      </c>
      <c r="D16" s="25">
        <f t="shared" si="0"/>
        <v>-1342</v>
      </c>
    </row>
    <row r="17" spans="1:4" x14ac:dyDescent="0.25">
      <c r="A17" s="10">
        <v>12</v>
      </c>
      <c r="B17" s="11">
        <v>-90</v>
      </c>
      <c r="C17" s="11"/>
      <c r="D17" s="25">
        <f t="shared" si="0"/>
        <v>90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-103928</v>
      </c>
      <c r="C37" s="11">
        <f>SUM(C6:C36)</f>
        <v>-138230</v>
      </c>
      <c r="D37" s="25">
        <f>SUM(D6:D36)</f>
        <v>-34302</v>
      </c>
    </row>
    <row r="38" spans="1:4" x14ac:dyDescent="0.25">
      <c r="A38" s="26"/>
      <c r="C38" s="14"/>
      <c r="D38" s="329">
        <f>+summary!I4</f>
        <v>2.16</v>
      </c>
    </row>
    <row r="39" spans="1:4" x14ac:dyDescent="0.25">
      <c r="D39" s="138">
        <f>+D38*D37</f>
        <v>-74092.320000000007</v>
      </c>
    </row>
    <row r="40" spans="1:4" x14ac:dyDescent="0.25">
      <c r="A40" s="57">
        <v>37256</v>
      </c>
      <c r="C40" s="15"/>
      <c r="D40" s="537">
        <v>67742.52</v>
      </c>
    </row>
    <row r="41" spans="1:4" x14ac:dyDescent="0.25">
      <c r="A41" s="57">
        <v>37268</v>
      </c>
      <c r="C41" s="48"/>
      <c r="D41" s="138">
        <f>+D40+D39</f>
        <v>-6349.8000000000029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36151</v>
      </c>
    </row>
    <row r="47" spans="1:4" x14ac:dyDescent="0.25">
      <c r="A47" s="49">
        <f>+A41</f>
        <v>37268</v>
      </c>
      <c r="B47" s="32"/>
      <c r="C47" s="32"/>
      <c r="D47" s="355">
        <f>+D37</f>
        <v>-34302</v>
      </c>
    </row>
    <row r="48" spans="1:4" x14ac:dyDescent="0.25">
      <c r="A48" s="32"/>
      <c r="B48" s="32"/>
      <c r="C48" s="32"/>
      <c r="D48" s="14">
        <f>+D47+D46</f>
        <v>1849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3" workbookViewId="0">
      <selection activeCell="A19" sqref="A19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6"/>
      <c r="C5" s="90">
        <v>-1386</v>
      </c>
      <c r="D5" s="90">
        <f>+C5-B5</f>
        <v>-1386</v>
      </c>
      <c r="E5" s="275"/>
      <c r="F5" s="273"/>
    </row>
    <row r="6" spans="1:13" x14ac:dyDescent="0.25">
      <c r="A6" s="87">
        <v>500046</v>
      </c>
      <c r="B6" s="90">
        <f>-3711-393</f>
        <v>-4104</v>
      </c>
      <c r="C6" s="90"/>
      <c r="D6" s="90">
        <f t="shared" ref="D6:D11" si="0">+C6-B6</f>
        <v>4104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>
        <f>-9366-710</f>
        <v>-10076</v>
      </c>
      <c r="C8" s="90">
        <v>-19719</v>
      </c>
      <c r="D8" s="90">
        <f t="shared" si="0"/>
        <v>-9643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-6925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+summary!I4</f>
        <v>2.16</v>
      </c>
      <c r="E13" s="277"/>
      <c r="F13" s="273"/>
    </row>
    <row r="14" spans="1:13" x14ac:dyDescent="0.25">
      <c r="A14" s="87"/>
      <c r="B14" s="88"/>
      <c r="C14" s="88"/>
      <c r="D14" s="96">
        <f>+D13*D12</f>
        <v>-14958.000000000002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37256</v>
      </c>
      <c r="B16" s="88"/>
      <c r="C16" s="88"/>
      <c r="D16" s="538">
        <v>-537692.79</v>
      </c>
      <c r="E16" s="207"/>
      <c r="F16" s="66"/>
    </row>
    <row r="17" spans="1:7" x14ac:dyDescent="0.25">
      <c r="A17" s="87"/>
      <c r="B17" s="88"/>
      <c r="C17" s="88"/>
      <c r="D17" s="311"/>
      <c r="E17" s="207"/>
      <c r="F17" s="66"/>
    </row>
    <row r="18" spans="1:7" ht="13.8" thickBot="1" x14ac:dyDescent="0.3">
      <c r="A18" s="99">
        <v>37268</v>
      </c>
      <c r="B18" s="88"/>
      <c r="C18" s="88"/>
      <c r="D18" s="321">
        <f>+D16+D14</f>
        <v>-552650.79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149</v>
      </c>
      <c r="B21" s="32"/>
      <c r="C21" s="32"/>
      <c r="D21" s="32"/>
    </row>
    <row r="22" spans="1:7" x14ac:dyDescent="0.25">
      <c r="A22" s="49">
        <f>+A16</f>
        <v>37256</v>
      </c>
      <c r="B22" s="32"/>
      <c r="C22" s="32"/>
      <c r="D22" s="532">
        <v>-36823</v>
      </c>
    </row>
    <row r="23" spans="1:7" x14ac:dyDescent="0.25">
      <c r="A23" s="49">
        <v>37268</v>
      </c>
      <c r="B23" s="32"/>
      <c r="C23" s="32"/>
      <c r="D23" s="355">
        <f>+D12</f>
        <v>-6925</v>
      </c>
    </row>
    <row r="24" spans="1:7" x14ac:dyDescent="0.25">
      <c r="A24" s="32"/>
      <c r="B24" s="32"/>
      <c r="C24" s="32"/>
      <c r="D24" s="14">
        <f>+D23+D22</f>
        <v>-43748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7" workbookViewId="0">
      <selection activeCell="C41" sqref="C41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-175</v>
      </c>
      <c r="C6" s="11"/>
      <c r="D6" s="25">
        <f>+C6-B6</f>
        <v>175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5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5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5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5">
      <c r="A14" s="10">
        <v>9</v>
      </c>
      <c r="B14" s="11">
        <v>-17552</v>
      </c>
      <c r="C14" s="11">
        <v>-15935</v>
      </c>
      <c r="D14" s="25">
        <f t="shared" si="0"/>
        <v>1617</v>
      </c>
    </row>
    <row r="15" spans="1:4" x14ac:dyDescent="0.25">
      <c r="A15" s="10">
        <v>10</v>
      </c>
      <c r="B15" s="11">
        <v>-9962</v>
      </c>
      <c r="C15" s="11">
        <v>-15500</v>
      </c>
      <c r="D15" s="25">
        <f t="shared" si="0"/>
        <v>-5538</v>
      </c>
    </row>
    <row r="16" spans="1:4" x14ac:dyDescent="0.25">
      <c r="A16" s="10">
        <v>11</v>
      </c>
      <c r="B16" s="11">
        <v>-70735</v>
      </c>
      <c r="C16" s="11">
        <v>-71187</v>
      </c>
      <c r="D16" s="25">
        <f t="shared" si="0"/>
        <v>-452</v>
      </c>
    </row>
    <row r="17" spans="1:4" x14ac:dyDescent="0.25">
      <c r="A17" s="10">
        <v>12</v>
      </c>
      <c r="B17" s="129">
        <v>-58208</v>
      </c>
      <c r="C17" s="11">
        <v>-59296</v>
      </c>
      <c r="D17" s="25">
        <f t="shared" si="0"/>
        <v>-1088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-215782</v>
      </c>
      <c r="C37" s="11">
        <f>SUM(C6:C36)</f>
        <v>-224002</v>
      </c>
      <c r="D37" s="25">
        <f>SUM(D6:D36)</f>
        <v>-8220</v>
      </c>
    </row>
    <row r="38" spans="1:4" x14ac:dyDescent="0.25">
      <c r="A38" s="26"/>
      <c r="C38" s="14"/>
      <c r="D38" s="342"/>
    </row>
    <row r="39" spans="1:4" x14ac:dyDescent="0.25">
      <c r="D39" s="138"/>
    </row>
    <row r="40" spans="1:4" x14ac:dyDescent="0.25">
      <c r="A40" s="57">
        <v>37256</v>
      </c>
      <c r="C40" s="15"/>
      <c r="D40" s="494">
        <v>-8253</v>
      </c>
    </row>
    <row r="41" spans="1:4" x14ac:dyDescent="0.25">
      <c r="A41" s="57">
        <v>37268</v>
      </c>
      <c r="C41" s="48"/>
      <c r="D41" s="25">
        <f>+D40+D37</f>
        <v>-16473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+A40</f>
        <v>37256</v>
      </c>
      <c r="B45" s="32"/>
      <c r="C45" s="32"/>
      <c r="D45" s="493">
        <v>163235</v>
      </c>
    </row>
    <row r="46" spans="1:4" x14ac:dyDescent="0.25">
      <c r="A46" s="49">
        <f>+A41</f>
        <v>37268</v>
      </c>
      <c r="B46" s="32"/>
      <c r="C46" s="32"/>
      <c r="D46" s="380">
        <f>+D37*'by type_area'!J4</f>
        <v>-17755.2</v>
      </c>
    </row>
    <row r="47" spans="1:4" x14ac:dyDescent="0.25">
      <c r="A47" s="32"/>
      <c r="B47" s="32"/>
      <c r="C47" s="32"/>
      <c r="D47" s="200">
        <f>+D46+D45</f>
        <v>145479.79999999999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240</v>
      </c>
      <c r="C3" s="87"/>
      <c r="D3" s="87"/>
    </row>
    <row r="4" spans="1:4" x14ac:dyDescent="0.25">
      <c r="A4" s="3"/>
      <c r="B4" s="331" t="s">
        <v>239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9">
        <f>+summary!I5</f>
        <v>2.1800000000000002</v>
      </c>
    </row>
    <row r="39" spans="1:4" x14ac:dyDescent="0.25">
      <c r="D39" s="138">
        <f>+D38*D37</f>
        <v>0</v>
      </c>
    </row>
    <row r="40" spans="1:4" x14ac:dyDescent="0.25">
      <c r="A40" s="57">
        <v>37256</v>
      </c>
      <c r="C40" s="15"/>
      <c r="D40" s="537">
        <v>-203736.06</v>
      </c>
    </row>
    <row r="41" spans="1:4" x14ac:dyDescent="0.25">
      <c r="A41" s="57">
        <v>37256</v>
      </c>
      <c r="C41" s="48"/>
      <c r="D41" s="138">
        <f>+D40+D39</f>
        <v>-203736.06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-51454</v>
      </c>
    </row>
    <row r="47" spans="1:4" x14ac:dyDescent="0.25">
      <c r="A47" s="49">
        <f>+A41</f>
        <v>37256</v>
      </c>
      <c r="B47" s="32"/>
      <c r="C47" s="32"/>
      <c r="D47" s="464">
        <f>+D37</f>
        <v>0</v>
      </c>
    </row>
    <row r="48" spans="1:4" x14ac:dyDescent="0.25">
      <c r="A48" s="32"/>
      <c r="B48" s="32"/>
      <c r="C48" s="32"/>
      <c r="D48" s="14">
        <f>+D47+D46</f>
        <v>-51454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B37" sqref="B37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65" t="s">
        <v>241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>
        <v>-143</v>
      </c>
      <c r="C14" s="11">
        <v>-170</v>
      </c>
      <c r="D14" s="11"/>
      <c r="E14" s="11"/>
      <c r="F14" s="11">
        <v>-729</v>
      </c>
      <c r="G14" s="11">
        <v>-1050</v>
      </c>
      <c r="H14" s="11"/>
      <c r="I14" s="11"/>
      <c r="J14" s="11">
        <f t="shared" si="0"/>
        <v>-348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>
        <v>-143</v>
      </c>
      <c r="C15" s="11">
        <v>-170</v>
      </c>
      <c r="D15" s="11"/>
      <c r="E15" s="11"/>
      <c r="F15" s="11">
        <v>-1037</v>
      </c>
      <c r="G15" s="11">
        <v>-1050</v>
      </c>
      <c r="H15" s="11"/>
      <c r="I15" s="11"/>
      <c r="J15" s="11">
        <f t="shared" si="0"/>
        <v>-40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>
        <v>-144</v>
      </c>
      <c r="C16" s="11">
        <v>-170</v>
      </c>
      <c r="D16" s="11"/>
      <c r="E16" s="11"/>
      <c r="F16" s="11">
        <v>-1043</v>
      </c>
      <c r="G16" s="11">
        <v>-1050</v>
      </c>
      <c r="H16" s="11"/>
      <c r="I16" s="11"/>
      <c r="J16" s="11">
        <f t="shared" si="0"/>
        <v>-33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/>
      <c r="C17" s="11"/>
      <c r="D17" s="11"/>
      <c r="E17" s="11"/>
      <c r="F17" s="11">
        <v>-1048</v>
      </c>
      <c r="G17" s="11">
        <v>-1050</v>
      </c>
      <c r="H17" s="11"/>
      <c r="I17" s="11"/>
      <c r="J17" s="11">
        <f t="shared" si="0"/>
        <v>-2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-1817</v>
      </c>
      <c r="C37" s="11">
        <f t="shared" ref="C37:I37" si="1">SUM(C6:C36)</f>
        <v>-1870</v>
      </c>
      <c r="D37" s="11">
        <f t="shared" si="1"/>
        <v>0</v>
      </c>
      <c r="E37" s="11">
        <f t="shared" si="1"/>
        <v>0</v>
      </c>
      <c r="F37" s="11">
        <f t="shared" si="1"/>
        <v>-14373</v>
      </c>
      <c r="G37" s="11">
        <f t="shared" si="1"/>
        <v>-12600</v>
      </c>
      <c r="H37" s="11">
        <f t="shared" si="1"/>
        <v>0</v>
      </c>
      <c r="I37" s="11">
        <f t="shared" si="1"/>
        <v>0</v>
      </c>
      <c r="J37" s="11">
        <f>SUM(J6:J36)</f>
        <v>1720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+summary!I4</f>
        <v>2.16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3715.2000000000003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37256</v>
      </c>
      <c r="C41" s="25"/>
      <c r="E41" s="25"/>
      <c r="G41" s="25"/>
      <c r="I41" s="25"/>
      <c r="J41" s="542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22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37268</v>
      </c>
      <c r="J43" s="322">
        <f>+J41+J39</f>
        <v>-31825.13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37256</v>
      </c>
      <c r="B48" s="32"/>
      <c r="C48" s="32"/>
      <c r="D48" s="532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37268</v>
      </c>
      <c r="B49" s="32"/>
      <c r="C49" s="32"/>
      <c r="D49" s="355">
        <f>+J37</f>
        <v>1720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-1714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1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302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304</v>
      </c>
      <c r="C4" s="4"/>
      <c r="D4" s="38" t="s">
        <v>305</v>
      </c>
      <c r="E4" s="4"/>
      <c r="F4" s="38" t="s">
        <v>306</v>
      </c>
      <c r="G4" s="4"/>
      <c r="H4" s="38" t="s">
        <v>307</v>
      </c>
      <c r="I4" s="4"/>
      <c r="J4" s="38" t="s">
        <v>308</v>
      </c>
      <c r="K4" s="4"/>
      <c r="L4" s="38" t="s">
        <v>309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506"/>
      <c r="C6" s="11"/>
      <c r="D6" s="506"/>
      <c r="E6" s="11"/>
      <c r="F6" s="506"/>
      <c r="G6" s="11"/>
      <c r="H6" s="506"/>
      <c r="I6" s="11"/>
      <c r="J6" s="506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506"/>
      <c r="C7" s="11"/>
      <c r="D7" s="506"/>
      <c r="E7" s="11"/>
      <c r="F7" s="506"/>
      <c r="G7" s="11"/>
      <c r="H7" s="506"/>
      <c r="I7" s="11"/>
      <c r="J7" s="506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506"/>
      <c r="C8" s="11"/>
      <c r="D8" s="506"/>
      <c r="E8" s="11"/>
      <c r="F8" s="506"/>
      <c r="G8" s="11"/>
      <c r="H8" s="506"/>
      <c r="I8" s="11"/>
      <c r="J8" s="506"/>
      <c r="K8" s="11"/>
      <c r="L8" s="11">
        <v>-911</v>
      </c>
      <c r="M8" s="11">
        <v>-581</v>
      </c>
      <c r="N8" s="11">
        <f t="shared" si="0"/>
        <v>330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506"/>
      <c r="C9" s="11"/>
      <c r="D9" s="506"/>
      <c r="E9" s="11"/>
      <c r="F9" s="506"/>
      <c r="G9" s="11"/>
      <c r="H9" s="506"/>
      <c r="I9" s="11"/>
      <c r="J9" s="506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506"/>
      <c r="C10" s="11"/>
      <c r="D10" s="506"/>
      <c r="E10" s="11"/>
      <c r="F10" s="506"/>
      <c r="G10" s="11"/>
      <c r="H10" s="506"/>
      <c r="I10" s="11"/>
      <c r="J10" s="506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506"/>
      <c r="C11" s="11"/>
      <c r="D11" s="506"/>
      <c r="E11" s="11"/>
      <c r="F11" s="506"/>
      <c r="G11" s="11"/>
      <c r="H11" s="506"/>
      <c r="I11" s="11"/>
      <c r="J11" s="506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506"/>
      <c r="C12" s="11"/>
      <c r="D12" s="506"/>
      <c r="E12" s="11"/>
      <c r="F12" s="506"/>
      <c r="G12" s="11"/>
      <c r="H12" s="506"/>
      <c r="I12" s="11"/>
      <c r="J12" s="506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506"/>
      <c r="C13" s="11"/>
      <c r="D13" s="506"/>
      <c r="E13" s="11"/>
      <c r="F13" s="506"/>
      <c r="G13" s="11"/>
      <c r="H13" s="506"/>
      <c r="I13" s="11"/>
      <c r="J13" s="506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506"/>
      <c r="C14" s="11"/>
      <c r="D14" s="506"/>
      <c r="E14" s="11"/>
      <c r="F14" s="506"/>
      <c r="G14" s="11"/>
      <c r="H14" s="506"/>
      <c r="I14" s="11"/>
      <c r="J14" s="506"/>
      <c r="K14" s="11"/>
      <c r="L14" s="11">
        <v>-884</v>
      </c>
      <c r="M14" s="11">
        <v>-581</v>
      </c>
      <c r="N14" s="11">
        <f t="shared" si="0"/>
        <v>303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506"/>
      <c r="C15" s="11"/>
      <c r="D15" s="506"/>
      <c r="E15" s="11"/>
      <c r="F15" s="506"/>
      <c r="G15" s="11"/>
      <c r="H15" s="506"/>
      <c r="I15" s="11"/>
      <c r="J15" s="506"/>
      <c r="K15" s="11"/>
      <c r="L15" s="11">
        <v>-856</v>
      </c>
      <c r="M15" s="11">
        <v>-581</v>
      </c>
      <c r="N15" s="11">
        <f t="shared" si="0"/>
        <v>275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506"/>
      <c r="C16" s="11"/>
      <c r="D16" s="506"/>
      <c r="E16" s="11"/>
      <c r="F16" s="506"/>
      <c r="G16" s="11"/>
      <c r="H16" s="506"/>
      <c r="I16" s="11"/>
      <c r="J16" s="506"/>
      <c r="K16" s="11"/>
      <c r="L16" s="11">
        <v>-595</v>
      </c>
      <c r="M16" s="11">
        <v>-581</v>
      </c>
      <c r="N16" s="11">
        <f>+M16+K16+I16+G16+E16+C16-L16-J16-H16-F16-D16-B16</f>
        <v>14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506"/>
      <c r="C17" s="11"/>
      <c r="D17" s="506"/>
      <c r="E17" s="11"/>
      <c r="F17" s="506"/>
      <c r="G17" s="11"/>
      <c r="H17" s="506"/>
      <c r="I17" s="11"/>
      <c r="J17" s="506"/>
      <c r="K17" s="11"/>
      <c r="L17" s="11">
        <v>-582</v>
      </c>
      <c r="M17" s="11">
        <v>-581</v>
      </c>
      <c r="N17" s="11">
        <f>+M17+K17+I17+G17+E17+C17-L17-J17-H17-F17-D17-B17</f>
        <v>1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506"/>
      <c r="C18" s="11"/>
      <c r="D18" s="506"/>
      <c r="E18" s="11"/>
      <c r="F18" s="506"/>
      <c r="G18" s="11"/>
      <c r="H18" s="506"/>
      <c r="I18" s="11"/>
      <c r="J18" s="506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506"/>
      <c r="C19" s="11"/>
      <c r="D19" s="506"/>
      <c r="E19" s="11"/>
      <c r="F19" s="506"/>
      <c r="G19" s="11"/>
      <c r="H19" s="506"/>
      <c r="I19" s="11"/>
      <c r="J19" s="506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506"/>
      <c r="C20" s="11"/>
      <c r="D20" s="506"/>
      <c r="E20" s="11"/>
      <c r="F20" s="506"/>
      <c r="G20" s="11"/>
      <c r="H20" s="506"/>
      <c r="I20" s="11"/>
      <c r="J20" s="506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506"/>
      <c r="C21" s="11"/>
      <c r="D21" s="506"/>
      <c r="E21" s="11"/>
      <c r="F21" s="506"/>
      <c r="G21" s="11"/>
      <c r="H21" s="506"/>
      <c r="I21" s="11"/>
      <c r="J21" s="506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506"/>
      <c r="C22" s="11"/>
      <c r="D22" s="506"/>
      <c r="E22" s="11"/>
      <c r="F22" s="506"/>
      <c r="G22" s="11"/>
      <c r="H22" s="506"/>
      <c r="I22" s="11"/>
      <c r="J22" s="506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506"/>
      <c r="C23" s="11"/>
      <c r="D23" s="506"/>
      <c r="E23" s="11"/>
      <c r="F23" s="506"/>
      <c r="G23" s="11"/>
      <c r="H23" s="506"/>
      <c r="I23" s="11"/>
      <c r="J23" s="506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506"/>
      <c r="C24" s="11"/>
      <c r="D24" s="506"/>
      <c r="E24" s="11"/>
      <c r="F24" s="506"/>
      <c r="G24" s="11"/>
      <c r="H24" s="506"/>
      <c r="I24" s="11"/>
      <c r="J24" s="506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506"/>
      <c r="C25" s="11"/>
      <c r="D25" s="506"/>
      <c r="E25" s="11"/>
      <c r="F25" s="506"/>
      <c r="G25" s="11"/>
      <c r="H25" s="506"/>
      <c r="I25" s="11"/>
      <c r="J25" s="506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506"/>
      <c r="C26" s="11"/>
      <c r="D26" s="506"/>
      <c r="E26" s="11"/>
      <c r="F26" s="506"/>
      <c r="G26" s="11"/>
      <c r="H26" s="506"/>
      <c r="I26" s="11"/>
      <c r="J26" s="506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506"/>
      <c r="C27" s="11"/>
      <c r="D27" s="506"/>
      <c r="E27" s="11"/>
      <c r="F27" s="506"/>
      <c r="G27" s="11"/>
      <c r="H27" s="506"/>
      <c r="I27" s="11"/>
      <c r="J27" s="506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506"/>
      <c r="C28" s="11"/>
      <c r="D28" s="506"/>
      <c r="E28" s="11"/>
      <c r="F28" s="506"/>
      <c r="G28" s="11"/>
      <c r="H28" s="506"/>
      <c r="I28" s="11"/>
      <c r="J28" s="506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506"/>
      <c r="C29" s="11"/>
      <c r="D29" s="506"/>
      <c r="E29" s="11"/>
      <c r="F29" s="506"/>
      <c r="G29" s="11"/>
      <c r="H29" s="506"/>
      <c r="I29" s="11"/>
      <c r="J29" s="506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506"/>
      <c r="C30" s="11"/>
      <c r="D30" s="506"/>
      <c r="E30" s="11"/>
      <c r="F30" s="506"/>
      <c r="G30" s="11"/>
      <c r="H30" s="506"/>
      <c r="I30" s="11"/>
      <c r="J30" s="506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-9414</v>
      </c>
      <c r="M37" s="11">
        <f>SUM(M6:M36)</f>
        <v>-6972</v>
      </c>
      <c r="N37" s="11">
        <f t="shared" si="1"/>
        <v>2442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+summary!I4</f>
        <v>2.16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5274.72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37256</v>
      </c>
      <c r="C41" s="25"/>
      <c r="E41" s="25"/>
      <c r="G41" s="25"/>
      <c r="I41" s="25"/>
      <c r="K41" s="25"/>
      <c r="M41" s="25"/>
      <c r="N41" s="542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22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37268</v>
      </c>
      <c r="N43" s="322">
        <f>+N41+N39</f>
        <v>36963.21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37256</v>
      </c>
      <c r="B48" s="32"/>
      <c r="C48" s="32"/>
      <c r="D48" s="532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37268</v>
      </c>
      <c r="B49" s="32"/>
      <c r="C49" s="32"/>
      <c r="D49" s="355">
        <f>+N37</f>
        <v>2442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14123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9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205</v>
      </c>
      <c r="C3" s="87"/>
      <c r="D3" s="87"/>
    </row>
    <row r="4" spans="1:4" x14ac:dyDescent="0.25">
      <c r="A4" s="3"/>
      <c r="B4" s="331" t="s">
        <v>206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5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5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5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5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5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5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5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5">
      <c r="A14" s="10">
        <v>9</v>
      </c>
      <c r="B14" s="11">
        <v>249</v>
      </c>
      <c r="C14" s="11">
        <v>150</v>
      </c>
      <c r="D14" s="25">
        <f t="shared" si="0"/>
        <v>-99</v>
      </c>
    </row>
    <row r="15" spans="1:4" x14ac:dyDescent="0.25">
      <c r="A15" s="10">
        <v>10</v>
      </c>
      <c r="B15" s="11">
        <v>205</v>
      </c>
      <c r="C15" s="11">
        <v>150</v>
      </c>
      <c r="D15" s="25">
        <f t="shared" si="0"/>
        <v>-55</v>
      </c>
    </row>
    <row r="16" spans="1:4" x14ac:dyDescent="0.25">
      <c r="A16" s="10">
        <v>11</v>
      </c>
      <c r="B16" s="11">
        <v>276</v>
      </c>
      <c r="C16" s="11">
        <v>150</v>
      </c>
      <c r="D16" s="25">
        <f t="shared" si="0"/>
        <v>-126</v>
      </c>
    </row>
    <row r="17" spans="1:4" x14ac:dyDescent="0.25">
      <c r="A17" s="10">
        <v>12</v>
      </c>
      <c r="B17" s="11">
        <v>238</v>
      </c>
      <c r="C17" s="11">
        <v>150</v>
      </c>
      <c r="D17" s="25">
        <f t="shared" si="0"/>
        <v>-88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2688</v>
      </c>
      <c r="C37" s="11">
        <f>SUM(C6:C36)</f>
        <v>1800</v>
      </c>
      <c r="D37" s="25">
        <f>SUM(D6:D36)</f>
        <v>-888</v>
      </c>
    </row>
    <row r="38" spans="1:4" x14ac:dyDescent="0.25">
      <c r="A38" s="26"/>
      <c r="C38" s="14"/>
      <c r="D38" s="329">
        <f>+summary!I5</f>
        <v>2.1800000000000002</v>
      </c>
    </row>
    <row r="39" spans="1:4" x14ac:dyDescent="0.25">
      <c r="D39" s="138">
        <f>+D38*D37</f>
        <v>-1935.8400000000001</v>
      </c>
    </row>
    <row r="40" spans="1:4" x14ac:dyDescent="0.25">
      <c r="A40" s="57">
        <v>37256</v>
      </c>
      <c r="C40" s="15"/>
      <c r="D40" s="537">
        <v>180048.98</v>
      </c>
    </row>
    <row r="41" spans="1:4" x14ac:dyDescent="0.25">
      <c r="A41" s="57">
        <v>37268</v>
      </c>
      <c r="C41" s="48"/>
      <c r="D41" s="138">
        <f>+D40+D39</f>
        <v>178113.14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79013</v>
      </c>
    </row>
    <row r="47" spans="1:4" x14ac:dyDescent="0.25">
      <c r="A47" s="49">
        <f>+A41</f>
        <v>37268</v>
      </c>
      <c r="B47" s="32"/>
      <c r="C47" s="32"/>
      <c r="D47" s="355">
        <f>+D37</f>
        <v>-888</v>
      </c>
    </row>
    <row r="48" spans="1:4" x14ac:dyDescent="0.25">
      <c r="A48" s="32"/>
      <c r="B48" s="32"/>
      <c r="C48" s="32"/>
      <c r="D48" s="14">
        <f>+D47+D46</f>
        <v>78125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F47" sqref="F47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208</v>
      </c>
      <c r="C3" s="87"/>
      <c r="D3" s="87"/>
    </row>
    <row r="4" spans="1:4" x14ac:dyDescent="0.25">
      <c r="A4" s="3"/>
      <c r="B4" s="331" t="s">
        <v>209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5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5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5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5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5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5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5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5">
      <c r="A14" s="10">
        <v>9</v>
      </c>
      <c r="B14" s="11">
        <v>35</v>
      </c>
      <c r="C14" s="11">
        <v>441</v>
      </c>
      <c r="D14" s="25">
        <f t="shared" si="0"/>
        <v>406</v>
      </c>
    </row>
    <row r="15" spans="1:4" x14ac:dyDescent="0.25">
      <c r="A15" s="10">
        <v>10</v>
      </c>
      <c r="B15" s="11">
        <v>1124</v>
      </c>
      <c r="C15" s="11">
        <v>441</v>
      </c>
      <c r="D15" s="25">
        <f t="shared" si="0"/>
        <v>-683</v>
      </c>
    </row>
    <row r="16" spans="1:4" x14ac:dyDescent="0.25">
      <c r="A16" s="10">
        <v>11</v>
      </c>
      <c r="B16" s="11">
        <v>1826</v>
      </c>
      <c r="C16" s="11">
        <v>88</v>
      </c>
      <c r="D16" s="25">
        <f t="shared" si="0"/>
        <v>-1738</v>
      </c>
    </row>
    <row r="17" spans="1:4" x14ac:dyDescent="0.25">
      <c r="A17" s="10">
        <v>12</v>
      </c>
      <c r="B17" s="11">
        <v>314</v>
      </c>
      <c r="C17" s="11">
        <v>88</v>
      </c>
      <c r="D17" s="25">
        <f t="shared" si="0"/>
        <v>-226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3948</v>
      </c>
      <c r="C37" s="11">
        <f>SUM(C6:C36)</f>
        <v>4586</v>
      </c>
      <c r="D37" s="25">
        <f>SUM(D6:D36)</f>
        <v>638</v>
      </c>
    </row>
    <row r="38" spans="1:4" x14ac:dyDescent="0.25">
      <c r="A38" s="26"/>
      <c r="C38" s="14"/>
      <c r="D38" s="329">
        <f>+summary!I5</f>
        <v>2.1800000000000002</v>
      </c>
    </row>
    <row r="39" spans="1:4" x14ac:dyDescent="0.25">
      <c r="D39" s="138">
        <f>+D38*D37</f>
        <v>1390.8400000000001</v>
      </c>
    </row>
    <row r="40" spans="1:4" x14ac:dyDescent="0.25">
      <c r="A40" s="57">
        <v>37256</v>
      </c>
      <c r="C40" s="15"/>
      <c r="D40" s="537">
        <v>161292.49</v>
      </c>
    </row>
    <row r="41" spans="1:4" x14ac:dyDescent="0.25">
      <c r="A41" s="57">
        <v>37268</v>
      </c>
      <c r="C41" s="48"/>
      <c r="D41" s="138">
        <f>+D40+D39</f>
        <v>162683.32999999999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33971</v>
      </c>
    </row>
    <row r="47" spans="1:4" x14ac:dyDescent="0.25">
      <c r="A47" s="49">
        <f>+A41</f>
        <v>37268</v>
      </c>
      <c r="B47" s="32"/>
      <c r="C47" s="32"/>
      <c r="D47" s="355">
        <f>+D37</f>
        <v>638</v>
      </c>
    </row>
    <row r="48" spans="1:4" x14ac:dyDescent="0.25">
      <c r="A48" s="32"/>
      <c r="B48" s="32"/>
      <c r="C48" s="32"/>
      <c r="D48" s="14">
        <f>+D47+D46</f>
        <v>34609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workbookViewId="0">
      <selection activeCell="A19" sqref="A19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</cols>
  <sheetData>
    <row r="2" spans="1:34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5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5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5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5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5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5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5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5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5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5">
      <c r="A14" s="41">
        <v>10</v>
      </c>
      <c r="B14" s="11">
        <v>-14997</v>
      </c>
      <c r="C14" s="11">
        <v>-15000</v>
      </c>
      <c r="D14" s="129">
        <v>-93909</v>
      </c>
      <c r="E14" s="11">
        <v>-93216</v>
      </c>
      <c r="F14" s="11">
        <f t="shared" si="0"/>
        <v>690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5">
      <c r="A15" s="41">
        <v>11</v>
      </c>
      <c r="B15" s="11">
        <v>-613</v>
      </c>
      <c r="C15" s="11"/>
      <c r="D15" s="11">
        <v>-79398</v>
      </c>
      <c r="E15" s="11">
        <v>-78955</v>
      </c>
      <c r="F15" s="11">
        <f t="shared" si="0"/>
        <v>1056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5">
      <c r="A16" s="41">
        <v>12</v>
      </c>
      <c r="B16" s="11">
        <v>-5137</v>
      </c>
      <c r="C16" s="11">
        <v>-5000</v>
      </c>
      <c r="D16" s="11">
        <v>-58921</v>
      </c>
      <c r="E16" s="11">
        <v>-59382</v>
      </c>
      <c r="F16" s="11">
        <f t="shared" si="0"/>
        <v>-324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5">
      <c r="A36" s="41"/>
      <c r="B36" s="11">
        <f>SUM(B5:B35)</f>
        <v>-165466</v>
      </c>
      <c r="C36" s="44">
        <f>SUM(C5:C35)</f>
        <v>-164759</v>
      </c>
      <c r="D36" s="43">
        <f>SUM(D5:D35)</f>
        <v>-804108</v>
      </c>
      <c r="E36" s="43">
        <f>SUM(E5:E35)</f>
        <v>-798026</v>
      </c>
      <c r="F36" s="11">
        <f>SUM(F5:F35)</f>
        <v>6789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6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5">
      <c r="A39" s="32"/>
      <c r="B39" s="32"/>
      <c r="C39" s="15"/>
      <c r="D39" s="15"/>
      <c r="E39" s="15"/>
      <c r="F39" s="500">
        <f>+summary!I5</f>
        <v>2.1800000000000002</v>
      </c>
      <c r="G39" s="32"/>
      <c r="H39" s="204"/>
      <c r="I39" s="150"/>
      <c r="J39" s="351"/>
      <c r="K39" s="457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5">
      <c r="A40" s="32"/>
      <c r="B40" s="32"/>
      <c r="C40" s="48"/>
      <c r="D40" s="47"/>
      <c r="E40" s="48"/>
      <c r="F40" s="46">
        <f>+F39*F36</f>
        <v>14800.02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5">
      <c r="A41" s="32"/>
      <c r="B41" s="32"/>
      <c r="C41" s="47"/>
      <c r="D41" s="47"/>
      <c r="E41" s="47"/>
      <c r="F41" s="24"/>
      <c r="G41" s="32"/>
      <c r="H41" s="458"/>
      <c r="I41" s="206"/>
      <c r="J41" s="459"/>
      <c r="K41" s="459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5">
      <c r="A42" s="57">
        <v>37256</v>
      </c>
      <c r="B42" s="32"/>
      <c r="C42" s="467"/>
      <c r="D42" s="111"/>
      <c r="E42" s="467"/>
      <c r="F42" s="499">
        <v>9686</v>
      </c>
      <c r="G42" s="32"/>
      <c r="H42" s="458"/>
      <c r="I42" s="206"/>
      <c r="J42" s="459"/>
      <c r="K42" s="459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5">
      <c r="A43" s="57">
        <v>37268</v>
      </c>
      <c r="B43" s="32"/>
      <c r="C43" s="106"/>
      <c r="D43" s="106"/>
      <c r="E43" s="106"/>
      <c r="F43" s="24">
        <f>+F40+F42</f>
        <v>24486.02</v>
      </c>
      <c r="H43" s="293"/>
      <c r="I43" s="293"/>
      <c r="J43" s="293"/>
      <c r="K43" s="293"/>
      <c r="L43" s="460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5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5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5">
      <c r="A46" s="41"/>
      <c r="B46" s="11"/>
      <c r="C46" s="267"/>
      <c r="D46" s="102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5">
      <c r="A47" s="32" t="s">
        <v>318</v>
      </c>
      <c r="B47" s="32"/>
      <c r="C47" s="32"/>
      <c r="D47" s="15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5">
      <c r="A48" s="49">
        <f>+A42</f>
        <v>37256</v>
      </c>
      <c r="B48" s="32"/>
      <c r="C48" s="32"/>
      <c r="D48" s="516">
        <v>19943.240000000002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5">
      <c r="A49" s="49">
        <f>+A43</f>
        <v>37268</v>
      </c>
      <c r="B49" s="32"/>
      <c r="C49" s="32"/>
      <c r="D49" s="76">
        <f>+F36</f>
        <v>6789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5">
      <c r="A50" s="32"/>
      <c r="B50" s="32"/>
      <c r="C50" s="32"/>
      <c r="D50" s="75">
        <f>+D49+D48</f>
        <v>26732.240000000002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5">
      <c r="D51" s="259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5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5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5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5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5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5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5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5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5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5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5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5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5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5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5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5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5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5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5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5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5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5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5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5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5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5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5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5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5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5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5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5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5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5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5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5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5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5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5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5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5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5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5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5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5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5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5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5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5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5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5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5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5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5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5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5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5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5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5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5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5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5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5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5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5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5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5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5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5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5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5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5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5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5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5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5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5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5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5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5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5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5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5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5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5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5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5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5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5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5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5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5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5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5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5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5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5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5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5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5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5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5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5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5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5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5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5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5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5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5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5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5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5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5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5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5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5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5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5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5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5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5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5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5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5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5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5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5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5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5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5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5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5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5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5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5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5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5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5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5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5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5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5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5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5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5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5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5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5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5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5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5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5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5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5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5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5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5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5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5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5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5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5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5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5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5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5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5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5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5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5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5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5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0" t="s">
        <v>213</v>
      </c>
      <c r="C3" s="208"/>
      <c r="D3" s="450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-1667</v>
      </c>
      <c r="C14" s="24">
        <v>-1613</v>
      </c>
      <c r="D14" s="24">
        <v>-2378</v>
      </c>
      <c r="E14" s="24">
        <v>-2000</v>
      </c>
      <c r="F14" s="24">
        <f t="shared" si="0"/>
        <v>432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-1953</v>
      </c>
      <c r="C15" s="24">
        <v>-1613</v>
      </c>
      <c r="D15" s="24">
        <v>-2547</v>
      </c>
      <c r="E15" s="24">
        <v>-2000</v>
      </c>
      <c r="F15" s="24">
        <f t="shared" si="0"/>
        <v>887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-2326</v>
      </c>
      <c r="C16" s="24">
        <v>-1613</v>
      </c>
      <c r="D16" s="24">
        <v>-2312</v>
      </c>
      <c r="E16" s="24">
        <v>-2000</v>
      </c>
      <c r="F16" s="24">
        <f t="shared" si="0"/>
        <v>1025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-2069</v>
      </c>
      <c r="C17" s="24">
        <v>-1613</v>
      </c>
      <c r="D17" s="24">
        <v>-136</v>
      </c>
      <c r="E17" s="24">
        <v>-2000</v>
      </c>
      <c r="F17" s="24">
        <f t="shared" si="0"/>
        <v>-1408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-25143</v>
      </c>
      <c r="C37" s="24">
        <f>SUM(C6:C36)</f>
        <v>-19356</v>
      </c>
      <c r="D37" s="24">
        <f>SUM(D6:D36)</f>
        <v>-24061</v>
      </c>
      <c r="E37" s="24">
        <f>SUM(E6:E36)</f>
        <v>-24000</v>
      </c>
      <c r="F37" s="24">
        <f>SUM(F6:F36)</f>
        <v>5848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+summary!I4</f>
        <v>2.16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12631.68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C40" s="322"/>
      <c r="D40" s="262"/>
      <c r="E40" s="262"/>
      <c r="F40" s="531">
        <v>-133395.24</v>
      </c>
      <c r="G40" s="447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37268</v>
      </c>
      <c r="C41" s="322"/>
      <c r="D41" s="262"/>
      <c r="E41" s="262"/>
      <c r="F41" s="104">
        <f>+F40+F39</f>
        <v>-120763.56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37268</v>
      </c>
      <c r="B47" s="32"/>
      <c r="C47" s="32"/>
      <c r="D47" s="355">
        <f>+F37</f>
        <v>5848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-37564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0" t="s">
        <v>221</v>
      </c>
      <c r="C3" s="208"/>
      <c r="D3" s="450" t="s">
        <v>223</v>
      </c>
      <c r="E3" s="207"/>
      <c r="F3" s="450" t="s">
        <v>225</v>
      </c>
      <c r="G3" s="207"/>
      <c r="H3" s="450" t="s">
        <v>227</v>
      </c>
      <c r="I3" s="207"/>
      <c r="J3" s="450" t="s">
        <v>229</v>
      </c>
      <c r="K3" s="207"/>
      <c r="L3" s="450" t="s">
        <v>231</v>
      </c>
      <c r="M3" s="207"/>
      <c r="N3" s="450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-2155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-2065</v>
      </c>
      <c r="C12" s="24">
        <v>-2135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-95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-2033</v>
      </c>
      <c r="C13" s="24">
        <v>-2135</v>
      </c>
      <c r="D13" s="24">
        <v>-2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-125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-2041</v>
      </c>
      <c r="C14" s="24">
        <v>-2135</v>
      </c>
      <c r="D14" s="24">
        <v>-2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-117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-2149</v>
      </c>
      <c r="C15" s="24">
        <v>-2135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-2104</v>
      </c>
      <c r="C16" s="24">
        <v>-2135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-56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-2095</v>
      </c>
      <c r="C17" s="24">
        <v>-2135</v>
      </c>
      <c r="D17" s="24"/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-65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-25601</v>
      </c>
      <c r="C37" s="24">
        <f t="shared" si="1"/>
        <v>-25620</v>
      </c>
      <c r="D37" s="24">
        <f t="shared" si="1"/>
        <v>-8</v>
      </c>
      <c r="E37" s="24">
        <f t="shared" si="1"/>
        <v>-300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-311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+summary!I4</f>
        <v>2.16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7"/>
      <c r="P39" s="104">
        <f>+P38*P37</f>
        <v>-671.76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7">
        <v>37256</v>
      </c>
      <c r="E40" s="14"/>
      <c r="O40" s="447"/>
      <c r="P40" s="531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7">
        <v>37268</v>
      </c>
      <c r="E41" s="14"/>
      <c r="O41" s="447"/>
      <c r="P41" s="104">
        <f>+P40+P39</f>
        <v>93317.64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32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37268</v>
      </c>
      <c r="B47" s="32"/>
      <c r="C47" s="32"/>
      <c r="D47" s="355">
        <f>+P37</f>
        <v>-311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38759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B40" sqref="B4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297</v>
      </c>
      <c r="C3" s="87"/>
      <c r="D3" s="87"/>
    </row>
    <row r="4" spans="1:4" x14ac:dyDescent="0.25">
      <c r="A4" s="3"/>
      <c r="B4" s="331" t="s">
        <v>296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5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5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5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5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5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5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5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5">
      <c r="A14" s="10">
        <v>9</v>
      </c>
      <c r="B14" s="11">
        <v>-13585</v>
      </c>
      <c r="C14" s="11">
        <v>-14000</v>
      </c>
      <c r="D14" s="25">
        <f t="shared" si="0"/>
        <v>-415</v>
      </c>
    </row>
    <row r="15" spans="1:4" x14ac:dyDescent="0.25">
      <c r="A15" s="10">
        <v>10</v>
      </c>
      <c r="B15" s="11">
        <v>-13644</v>
      </c>
      <c r="C15" s="11">
        <v>-14000</v>
      </c>
      <c r="D15" s="25">
        <f t="shared" si="0"/>
        <v>-356</v>
      </c>
    </row>
    <row r="16" spans="1:4" x14ac:dyDescent="0.25">
      <c r="A16" s="10">
        <v>11</v>
      </c>
      <c r="B16" s="11">
        <v>-13501</v>
      </c>
      <c r="C16" s="11">
        <v>-14000</v>
      </c>
      <c r="D16" s="25">
        <f t="shared" si="0"/>
        <v>-499</v>
      </c>
    </row>
    <row r="17" spans="1:4" x14ac:dyDescent="0.25">
      <c r="A17" s="10">
        <v>12</v>
      </c>
      <c r="B17" s="11">
        <v>-15295</v>
      </c>
      <c r="C17" s="11">
        <v>-14000</v>
      </c>
      <c r="D17" s="25">
        <f t="shared" si="0"/>
        <v>1295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-164904</v>
      </c>
      <c r="C37" s="11">
        <f>SUM(C6:C36)</f>
        <v>-168000</v>
      </c>
      <c r="D37" s="25">
        <f>SUM(D6:D36)</f>
        <v>-3096</v>
      </c>
    </row>
    <row r="38" spans="1:4" x14ac:dyDescent="0.25">
      <c r="A38" s="26"/>
      <c r="C38" s="14"/>
      <c r="D38" s="329">
        <f>+summary!I4</f>
        <v>2.16</v>
      </c>
    </row>
    <row r="39" spans="1:4" x14ac:dyDescent="0.25">
      <c r="D39" s="138">
        <f>+D38*D37</f>
        <v>-6687.3600000000006</v>
      </c>
    </row>
    <row r="40" spans="1:4" x14ac:dyDescent="0.25">
      <c r="A40" s="57">
        <v>37256</v>
      </c>
      <c r="C40" s="15"/>
      <c r="D40" s="537">
        <v>-15514.53</v>
      </c>
    </row>
    <row r="41" spans="1:4" x14ac:dyDescent="0.25">
      <c r="A41" s="57">
        <v>37268</v>
      </c>
      <c r="C41" s="48"/>
      <c r="D41" s="138">
        <f>+D40+D39</f>
        <v>-22201.89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5596</v>
      </c>
    </row>
    <row r="47" spans="1:4" x14ac:dyDescent="0.25">
      <c r="A47" s="49">
        <f>+A41</f>
        <v>37268</v>
      </c>
      <c r="B47" s="32"/>
      <c r="C47" s="32"/>
      <c r="D47" s="355">
        <f>+D37</f>
        <v>-3096</v>
      </c>
    </row>
    <row r="48" spans="1:4" x14ac:dyDescent="0.25">
      <c r="A48" s="32"/>
      <c r="B48" s="32"/>
      <c r="C48" s="32"/>
      <c r="D48" s="14">
        <f>+D47+D46</f>
        <v>2500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322</v>
      </c>
      <c r="C3" s="87"/>
      <c r="D3" s="87"/>
    </row>
    <row r="4" spans="1:4" x14ac:dyDescent="0.25">
      <c r="A4" s="3"/>
      <c r="B4" s="331" t="s">
        <v>323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3030</v>
      </c>
      <c r="C37" s="11">
        <f>SUM(C6:C36)</f>
        <v>2752</v>
      </c>
      <c r="D37" s="25">
        <f>SUM(D6:D36)</f>
        <v>-278</v>
      </c>
    </row>
    <row r="38" spans="1:4" x14ac:dyDescent="0.25">
      <c r="A38" s="26"/>
      <c r="C38" s="14"/>
      <c r="D38" s="329">
        <f>+summary!I5</f>
        <v>2.1800000000000002</v>
      </c>
    </row>
    <row r="39" spans="1:4" x14ac:dyDescent="0.25">
      <c r="D39" s="138">
        <f>+D38*D37</f>
        <v>-606.04000000000008</v>
      </c>
    </row>
    <row r="40" spans="1:4" x14ac:dyDescent="0.25">
      <c r="A40" s="57">
        <v>37256</v>
      </c>
      <c r="C40" s="15"/>
      <c r="D40" s="537">
        <v>43180.07</v>
      </c>
    </row>
    <row r="41" spans="1:4" x14ac:dyDescent="0.25">
      <c r="A41" s="57">
        <v>37257</v>
      </c>
      <c r="C41" s="48"/>
      <c r="D41" s="138">
        <f>+D40+D39</f>
        <v>42574.03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14850</v>
      </c>
    </row>
    <row r="47" spans="1:4" x14ac:dyDescent="0.25">
      <c r="A47" s="49">
        <f>+A41</f>
        <v>37257</v>
      </c>
      <c r="B47" s="32"/>
      <c r="C47" s="32"/>
      <c r="D47" s="355">
        <f>+D37</f>
        <v>-278</v>
      </c>
    </row>
    <row r="48" spans="1:4" x14ac:dyDescent="0.25">
      <c r="A48" s="32"/>
      <c r="B48" s="32"/>
      <c r="C48" s="32"/>
      <c r="D48" s="14">
        <f>+D47+D46</f>
        <v>14572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30" workbookViewId="0">
      <selection activeCell="C42" sqref="C42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5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5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5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5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5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5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5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5">
      <c r="A15" s="10">
        <v>9</v>
      </c>
      <c r="B15" s="11">
        <v>146091</v>
      </c>
      <c r="C15" s="11">
        <v>145561</v>
      </c>
      <c r="D15" s="25">
        <f t="shared" si="0"/>
        <v>-530</v>
      </c>
    </row>
    <row r="16" spans="1:4" x14ac:dyDescent="0.25">
      <c r="A16" s="10">
        <v>10</v>
      </c>
      <c r="B16" s="11">
        <v>170217</v>
      </c>
      <c r="C16" s="11">
        <v>161989</v>
      </c>
      <c r="D16" s="25">
        <f t="shared" si="0"/>
        <v>-8228</v>
      </c>
    </row>
    <row r="17" spans="1:4" x14ac:dyDescent="0.25">
      <c r="A17" s="10">
        <v>11</v>
      </c>
      <c r="B17" s="11">
        <v>155187</v>
      </c>
      <c r="C17" s="11">
        <v>155406</v>
      </c>
      <c r="D17" s="25">
        <f t="shared" si="0"/>
        <v>219</v>
      </c>
    </row>
    <row r="18" spans="1:4" x14ac:dyDescent="0.25">
      <c r="A18" s="10">
        <v>12</v>
      </c>
      <c r="B18" s="11">
        <v>142391</v>
      </c>
      <c r="C18" s="11">
        <v>140202</v>
      </c>
      <c r="D18" s="25">
        <f t="shared" si="0"/>
        <v>-2189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29"/>
      <c r="C26" s="11"/>
      <c r="D26" s="25">
        <f t="shared" si="0"/>
        <v>0</v>
      </c>
    </row>
    <row r="27" spans="1:4" x14ac:dyDescent="0.25">
      <c r="A27" s="10">
        <v>21</v>
      </c>
      <c r="B27" s="129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1800691</v>
      </c>
      <c r="C38" s="11">
        <f>SUM(C7:C37)</f>
        <v>1776429</v>
      </c>
      <c r="D38" s="11">
        <f>SUM(D7:D37)</f>
        <v>-24262</v>
      </c>
    </row>
    <row r="39" spans="1:8" x14ac:dyDescent="0.25">
      <c r="A39" s="26"/>
      <c r="C39" s="14"/>
      <c r="D39" s="106">
        <f>+summary!I3</f>
        <v>2.13</v>
      </c>
    </row>
    <row r="40" spans="1:8" x14ac:dyDescent="0.25">
      <c r="D40" s="138">
        <f>+D39*D38</f>
        <v>-51678.06</v>
      </c>
      <c r="H40">
        <v>20</v>
      </c>
    </row>
    <row r="41" spans="1:8" x14ac:dyDescent="0.25">
      <c r="A41" s="57">
        <v>37256</v>
      </c>
      <c r="C41" s="15"/>
      <c r="D41" s="550">
        <v>47594.94</v>
      </c>
      <c r="H41">
        <v>530</v>
      </c>
    </row>
    <row r="42" spans="1:8" x14ac:dyDescent="0.25">
      <c r="A42" s="57">
        <v>37268</v>
      </c>
      <c r="D42" s="322">
        <f>+D41+D40</f>
        <v>-4083.1199999999953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149</v>
      </c>
      <c r="B46" s="32"/>
      <c r="C46" s="32"/>
      <c r="D46" s="32"/>
    </row>
    <row r="47" spans="1:8" x14ac:dyDescent="0.25">
      <c r="A47" s="49">
        <f>+A41</f>
        <v>37256</v>
      </c>
      <c r="B47" s="32"/>
      <c r="C47" s="32"/>
      <c r="D47" s="532">
        <v>20411</v>
      </c>
    </row>
    <row r="48" spans="1:8" x14ac:dyDescent="0.25">
      <c r="A48" s="49">
        <f>+A42</f>
        <v>37268</v>
      </c>
      <c r="B48" s="32"/>
      <c r="C48" s="32"/>
      <c r="D48" s="355">
        <f>+D38</f>
        <v>-24262</v>
      </c>
    </row>
    <row r="49" spans="1:4" x14ac:dyDescent="0.25">
      <c r="A49" s="32"/>
      <c r="B49" s="32"/>
      <c r="C49" s="32"/>
      <c r="D49" s="14">
        <f>+D48+D47</f>
        <v>-3851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31" workbookViewId="0">
      <selection activeCell="C39" sqref="C39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5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5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5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5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5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5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5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5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5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5">
      <c r="A14" s="10">
        <v>11</v>
      </c>
      <c r="B14" s="11">
        <v>-99217</v>
      </c>
      <c r="C14" s="11">
        <v>-97700</v>
      </c>
      <c r="D14" s="25">
        <f t="shared" si="0"/>
        <v>1517</v>
      </c>
    </row>
    <row r="15" spans="1:4" x14ac:dyDescent="0.25">
      <c r="A15" s="10">
        <v>12</v>
      </c>
      <c r="B15" s="11">
        <v>-157690</v>
      </c>
      <c r="C15" s="11">
        <v>-156351</v>
      </c>
      <c r="D15" s="25">
        <f t="shared" si="0"/>
        <v>1339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29"/>
      <c r="C21" s="11"/>
      <c r="D21" s="25">
        <f t="shared" si="0"/>
        <v>0</v>
      </c>
    </row>
    <row r="22" spans="1:4" x14ac:dyDescent="0.25">
      <c r="A22" s="10">
        <v>19</v>
      </c>
      <c r="B22" s="129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-1846228</v>
      </c>
      <c r="C35" s="11">
        <f>SUM(C4:C34)</f>
        <v>-1892642</v>
      </c>
      <c r="D35" s="11">
        <f>SUM(D4:D34)</f>
        <v>-46414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37256</v>
      </c>
      <c r="D38" s="539">
        <v>59071</v>
      </c>
    </row>
    <row r="39" spans="1:30" x14ac:dyDescent="0.25">
      <c r="A39" s="12"/>
      <c r="D39" s="51"/>
    </row>
    <row r="40" spans="1:30" x14ac:dyDescent="0.25">
      <c r="A40" s="245">
        <v>37268</v>
      </c>
      <c r="D40" s="51">
        <f>+D38+D35</f>
        <v>12657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150</v>
      </c>
      <c r="B44" s="32"/>
      <c r="C44" s="32"/>
      <c r="D44" s="479"/>
      <c r="K44"/>
    </row>
    <row r="45" spans="1:30" x14ac:dyDescent="0.25">
      <c r="A45" s="49">
        <f>+A38</f>
        <v>37256</v>
      </c>
      <c r="B45" s="32"/>
      <c r="C45" s="32"/>
      <c r="D45" s="558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37268</v>
      </c>
      <c r="B46" s="32"/>
      <c r="C46" s="32"/>
      <c r="D46" s="380">
        <f>+D35*'by type_area'!J4</f>
        <v>-100254.24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-180797.39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7" workbookViewId="0">
      <selection activeCell="C39" sqref="C39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5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5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5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5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5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5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5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5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5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5">
      <c r="A14" s="10">
        <v>11</v>
      </c>
      <c r="B14" s="11">
        <v>-603183</v>
      </c>
      <c r="C14" s="11">
        <v>-611815</v>
      </c>
      <c r="D14" s="11"/>
      <c r="E14" s="11"/>
      <c r="F14" s="25">
        <f t="shared" si="0"/>
        <v>-8632</v>
      </c>
      <c r="H14" s="10"/>
      <c r="I14" s="11"/>
    </row>
    <row r="15" spans="1:11" x14ac:dyDescent="0.25">
      <c r="A15" s="10">
        <v>12</v>
      </c>
      <c r="B15" s="11">
        <v>-599978</v>
      </c>
      <c r="C15" s="11">
        <v>-580516</v>
      </c>
      <c r="D15" s="11"/>
      <c r="E15" s="11"/>
      <c r="F15" s="25">
        <f t="shared" si="0"/>
        <v>19462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-6518152</v>
      </c>
      <c r="C35" s="11">
        <f>SUM(C4:C34)</f>
        <v>-6537727</v>
      </c>
      <c r="D35" s="11">
        <f>SUM(D4:D34)</f>
        <v>0</v>
      </c>
      <c r="E35" s="11">
        <f>SUM(E4:E34)</f>
        <v>0</v>
      </c>
      <c r="F35" s="11">
        <f>SUM(F4:F34)</f>
        <v>-19575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37256</v>
      </c>
      <c r="D38" s="246"/>
      <c r="E38" s="246"/>
      <c r="F38" s="541">
        <v>104420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37268</v>
      </c>
      <c r="D40" s="246"/>
      <c r="E40" s="246"/>
      <c r="F40" s="51">
        <f>+F38+F35</f>
        <v>84845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6" x14ac:dyDescent="0.3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5">
      <c r="A44" s="32" t="s">
        <v>150</v>
      </c>
      <c r="B44" s="32"/>
      <c r="C44" s="32"/>
      <c r="D44" s="479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5">
      <c r="A45" s="49">
        <f>+A38</f>
        <v>37256</v>
      </c>
      <c r="B45" s="32"/>
      <c r="C45" s="32"/>
      <c r="D45" s="558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5">
      <c r="A46" s="49">
        <f>+A40</f>
        <v>37268</v>
      </c>
      <c r="B46" s="32"/>
      <c r="C46" s="32"/>
      <c r="D46" s="480">
        <f>+F35*'by type_area'!J4</f>
        <v>-42282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5">
      <c r="A47" s="32"/>
      <c r="B47" s="32"/>
      <c r="C47" s="32"/>
      <c r="D47" s="478">
        <f>+D46+D45</f>
        <v>289635</v>
      </c>
      <c r="E47" s="246"/>
      <c r="F47" s="481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5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5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5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5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5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5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5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5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5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5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5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5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5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5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5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5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5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5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5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5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5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5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5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topLeftCell="A21" workbookViewId="0">
      <selection activeCell="E36" sqref="E36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135" bestFit="1" customWidth="1"/>
    <col min="12" max="13" width="10.88671875" style="32" bestFit="1" customWidth="1"/>
    <col min="14" max="14" width="12" style="32" bestFit="1" customWidth="1"/>
    <col min="15" max="15" width="9.5546875" style="32" bestFit="1" customWidth="1"/>
    <col min="16" max="16" width="7.6640625" style="14" bestFit="1" customWidth="1"/>
    <col min="17" max="17" width="5.44140625" style="15" bestFit="1" customWidth="1"/>
    <col min="18" max="18" width="10.6640625" style="15" bestFit="1" customWidth="1"/>
    <col min="19" max="19" width="9.109375" style="32"/>
    <col min="20" max="20" width="10.6640625" style="32" bestFit="1" customWidth="1"/>
    <col min="21" max="16384" width="9.109375" style="32"/>
  </cols>
  <sheetData>
    <row r="1" spans="1:18" x14ac:dyDescent="0.2">
      <c r="A1" s="37"/>
      <c r="C1" s="14"/>
      <c r="F1" s="2">
        <v>12283</v>
      </c>
    </row>
    <row r="2" spans="1:18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27" t="s">
        <v>49</v>
      </c>
    </row>
    <row r="3" spans="1:18" ht="12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8" t="s">
        <v>49</v>
      </c>
      <c r="Q3" s="529" t="s">
        <v>15</v>
      </c>
      <c r="R3" s="530" t="s">
        <v>27</v>
      </c>
    </row>
    <row r="4" spans="1:18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8.2100000000000009</v>
      </c>
      <c r="R4" s="15">
        <f>+Q4*P4</f>
        <v>82231.360000000015</v>
      </c>
    </row>
    <row r="5" spans="1:18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2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8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4.9800000000000004</v>
      </c>
      <c r="R6" s="15">
        <f t="shared" si="2"/>
        <v>16568.460000000003</v>
      </c>
    </row>
    <row r="7" spans="1:18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4.87</v>
      </c>
      <c r="R7" s="15">
        <f t="shared" si="2"/>
        <v>131246.5</v>
      </c>
    </row>
    <row r="8" spans="1:18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3.82</v>
      </c>
      <c r="R8" s="15">
        <f t="shared" si="2"/>
        <v>-67060.099999999991</v>
      </c>
    </row>
    <row r="9" spans="1:18" ht="20.100000000000001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3.2</v>
      </c>
      <c r="R9" s="15">
        <f t="shared" si="2"/>
        <v>111001.60000000001</v>
      </c>
    </row>
    <row r="10" spans="1:18" ht="20.100000000000001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2.77</v>
      </c>
      <c r="R10" s="15">
        <f t="shared" si="2"/>
        <v>112320.73</v>
      </c>
    </row>
    <row r="11" spans="1:18" ht="20.100000000000001" customHeight="1" x14ac:dyDescent="0.2">
      <c r="A11" s="41">
        <v>8</v>
      </c>
      <c r="B11" s="11">
        <v>-114677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-15634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2.77</v>
      </c>
      <c r="R11" s="15">
        <f t="shared" si="2"/>
        <v>-2900.19</v>
      </c>
    </row>
    <row r="12" spans="1:18" ht="20.100000000000001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1.88</v>
      </c>
      <c r="R12" s="15">
        <f t="shared" si="2"/>
        <v>-9033.4</v>
      </c>
    </row>
    <row r="13" spans="1:18" ht="20.100000000000001" customHeight="1" x14ac:dyDescent="0.2">
      <c r="A13" s="41">
        <v>10</v>
      </c>
      <c r="B13" s="11">
        <v>-130265</v>
      </c>
      <c r="C13" s="11">
        <v>-43551</v>
      </c>
      <c r="D13" s="11"/>
      <c r="E13" s="129">
        <v>-80060</v>
      </c>
      <c r="F13" s="11"/>
      <c r="G13" s="11"/>
      <c r="H13" s="11">
        <f t="shared" si="0"/>
        <v>6654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2.12</v>
      </c>
      <c r="R13" s="15">
        <f t="shared" si="2"/>
        <v>-8431.24</v>
      </c>
    </row>
    <row r="14" spans="1:18" ht="20.100000000000001" customHeight="1" x14ac:dyDescent="0.2">
      <c r="A14" s="41">
        <v>11</v>
      </c>
      <c r="B14" s="11">
        <v>-133279</v>
      </c>
      <c r="C14" s="11">
        <v>-49795</v>
      </c>
      <c r="D14" s="11"/>
      <c r="E14" s="11">
        <v>-81898</v>
      </c>
      <c r="F14" s="11"/>
      <c r="G14" s="11"/>
      <c r="H14" s="11">
        <f t="shared" si="0"/>
        <v>1586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2.04</v>
      </c>
      <c r="R14" s="15">
        <f t="shared" si="2"/>
        <v>24582</v>
      </c>
    </row>
    <row r="15" spans="1:18" ht="20.100000000000001" customHeight="1" x14ac:dyDescent="0.2">
      <c r="A15" s="41">
        <v>12</v>
      </c>
      <c r="B15" s="11">
        <v>-99167</v>
      </c>
      <c r="C15" s="11">
        <v>-38525</v>
      </c>
      <c r="D15" s="11"/>
      <c r="E15" s="11">
        <v>-60000</v>
      </c>
      <c r="F15" s="11"/>
      <c r="G15" s="11"/>
      <c r="H15" s="11">
        <f t="shared" si="0"/>
        <v>642</v>
      </c>
      <c r="I15" s="11"/>
      <c r="J15" s="102"/>
      <c r="K15" s="101">
        <v>37226</v>
      </c>
      <c r="L15" s="11"/>
      <c r="M15" s="11"/>
      <c r="N15" s="11"/>
      <c r="O15" s="11"/>
      <c r="P15" s="11">
        <f t="shared" si="1"/>
        <v>0</v>
      </c>
      <c r="R15" s="15">
        <f t="shared" si="2"/>
        <v>0</v>
      </c>
    </row>
    <row r="16" spans="1:18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12" x14ac:dyDescent="0.25">
      <c r="A17" s="41">
        <v>16</v>
      </c>
      <c r="B17" s="129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7"/>
      <c r="L17" s="11"/>
      <c r="M17" s="11"/>
      <c r="N17" s="11"/>
      <c r="O17" s="11"/>
      <c r="P17" s="14">
        <f>SUM(P4:P16)</f>
        <v>113457</v>
      </c>
      <c r="R17" s="15">
        <f>SUM(R4:R16)</f>
        <v>465052.54</v>
      </c>
    </row>
    <row r="18" spans="1:18" ht="13.2" x14ac:dyDescent="0.25">
      <c r="A18" s="41">
        <v>17</v>
      </c>
      <c r="B18" s="129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55"/>
      <c r="L18" s="34"/>
      <c r="M18" s="34"/>
      <c r="N18" s="34"/>
      <c r="O18" s="34"/>
    </row>
    <row r="19" spans="1:18" x14ac:dyDescent="0.2">
      <c r="A19" s="41">
        <v>18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519"/>
      <c r="L19" s="11"/>
      <c r="M19" s="11"/>
      <c r="N19" s="11"/>
      <c r="O19" s="2"/>
      <c r="R19" s="15">
        <v>-591014.35</v>
      </c>
    </row>
    <row r="20" spans="1:18" x14ac:dyDescent="0.2">
      <c r="A20" s="41">
        <v>19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19"/>
      <c r="L20" s="11"/>
      <c r="M20" s="11"/>
      <c r="N20" s="11"/>
      <c r="O20" s="2"/>
      <c r="R20" s="15">
        <f>+R19+R17</f>
        <v>-125961.81</v>
      </c>
    </row>
    <row r="21" spans="1:18" x14ac:dyDescent="0.2">
      <c r="A21" s="41">
        <v>20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19"/>
      <c r="L21" s="11"/>
      <c r="M21" s="11"/>
      <c r="N21" s="11"/>
      <c r="O21" s="2"/>
    </row>
    <row r="22" spans="1:18" x14ac:dyDescent="0.2">
      <c r="A22" s="41">
        <v>21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19"/>
      <c r="L22" s="11"/>
      <c r="M22" s="11"/>
      <c r="N22" s="11"/>
      <c r="O22" s="2"/>
    </row>
    <row r="23" spans="1:18" x14ac:dyDescent="0.2">
      <c r="A23" s="41">
        <v>22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19"/>
      <c r="L23" s="11"/>
      <c r="M23" s="11"/>
      <c r="N23" s="11"/>
      <c r="O23" s="2"/>
    </row>
    <row r="24" spans="1:18" x14ac:dyDescent="0.2">
      <c r="A24" s="41">
        <v>23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19"/>
      <c r="L24" s="11"/>
      <c r="M24" s="11"/>
      <c r="N24" s="11"/>
      <c r="O24" s="2"/>
    </row>
    <row r="25" spans="1:18" x14ac:dyDescent="0.2">
      <c r="A25" s="41">
        <v>24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19"/>
      <c r="L25" s="11"/>
      <c r="M25" s="11"/>
      <c r="N25" s="11"/>
      <c r="O25" s="2"/>
    </row>
    <row r="26" spans="1:18" x14ac:dyDescent="0.2">
      <c r="A26" s="41">
        <v>25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9"/>
      <c r="L26" s="11"/>
      <c r="M26" s="11"/>
      <c r="N26" s="11"/>
    </row>
    <row r="27" spans="1:18" x14ac:dyDescent="0.2">
      <c r="A27" s="41">
        <v>26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9"/>
      <c r="L27" s="11"/>
      <c r="M27" s="11"/>
      <c r="N27" s="11"/>
    </row>
    <row r="28" spans="1:18" x14ac:dyDescent="0.2">
      <c r="A28" s="41">
        <v>27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9"/>
      <c r="L28" s="11"/>
      <c r="M28" s="11"/>
      <c r="N28" s="11"/>
    </row>
    <row r="29" spans="1:18" x14ac:dyDescent="0.2">
      <c r="A29" s="41">
        <v>28</v>
      </c>
      <c r="B29" s="11"/>
      <c r="C29" s="11"/>
      <c r="D29" s="129"/>
      <c r="E29" s="11"/>
      <c r="F29" s="11"/>
      <c r="G29" s="11"/>
      <c r="H29" s="11">
        <f t="shared" si="0"/>
        <v>0</v>
      </c>
      <c r="I29" s="11"/>
      <c r="J29" s="102"/>
      <c r="K29" s="519"/>
      <c r="L29" s="11"/>
      <c r="M29" s="11"/>
      <c r="N29" s="11"/>
    </row>
    <row r="30" spans="1:18" x14ac:dyDescent="0.2">
      <c r="A30" s="41">
        <v>29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9"/>
      <c r="L30" s="11"/>
      <c r="M30" s="11"/>
      <c r="N30" s="11"/>
    </row>
    <row r="31" spans="1:18" x14ac:dyDescent="0.2">
      <c r="A31" s="41">
        <v>30</v>
      </c>
      <c r="B31" s="11"/>
      <c r="C31" s="11"/>
      <c r="D31" s="11"/>
      <c r="E31" s="11"/>
      <c r="F31" s="11"/>
      <c r="G31" s="11"/>
      <c r="H31" s="11">
        <f t="shared" si="0"/>
        <v>0</v>
      </c>
      <c r="J31" s="104"/>
      <c r="K31" s="37"/>
    </row>
    <row r="32" spans="1:18" x14ac:dyDescent="0.2">
      <c r="A32" s="41">
        <v>31</v>
      </c>
      <c r="B32" s="42"/>
      <c r="C32" s="42"/>
      <c r="D32" s="42"/>
      <c r="E32" s="42"/>
      <c r="F32" s="42"/>
      <c r="G32" s="42"/>
      <c r="H32" s="42">
        <f t="shared" si="0"/>
        <v>0</v>
      </c>
      <c r="I32" s="11"/>
      <c r="J32" s="102"/>
      <c r="K32" s="519"/>
      <c r="L32" s="11"/>
      <c r="M32" s="11"/>
      <c r="N32" s="11"/>
    </row>
    <row r="33" spans="1:15" x14ac:dyDescent="0.2">
      <c r="A33" s="41"/>
      <c r="B33" s="11">
        <f t="shared" ref="B33:H33" si="3">SUM(B4:B32)</f>
        <v>-1289469</v>
      </c>
      <c r="C33" s="44">
        <f t="shared" si="3"/>
        <v>-469583</v>
      </c>
      <c r="D33" s="11">
        <f t="shared" si="3"/>
        <v>0</v>
      </c>
      <c r="E33" s="44">
        <f t="shared" si="3"/>
        <v>-814519</v>
      </c>
      <c r="F33" s="11">
        <f t="shared" si="3"/>
        <v>0</v>
      </c>
      <c r="G33" s="11">
        <f t="shared" si="3"/>
        <v>0</v>
      </c>
      <c r="H33" s="11">
        <f t="shared" si="3"/>
        <v>5367</v>
      </c>
      <c r="I33" s="11"/>
      <c r="J33" s="102"/>
      <c r="K33" s="519"/>
      <c r="L33" s="11"/>
      <c r="M33" s="11"/>
      <c r="N33" s="11"/>
    </row>
    <row r="34" spans="1:15" x14ac:dyDescent="0.2">
      <c r="A34" s="45"/>
      <c r="B34" s="16"/>
      <c r="C34" s="24"/>
      <c r="D34" s="24"/>
      <c r="E34" s="24"/>
      <c r="F34" s="24"/>
      <c r="G34" s="24"/>
      <c r="H34" s="46">
        <f>+summary!I4</f>
        <v>2.16</v>
      </c>
      <c r="I34" s="11"/>
      <c r="J34" s="102"/>
      <c r="K34" s="519"/>
      <c r="L34" s="11"/>
      <c r="M34" s="11"/>
      <c r="N34" s="11"/>
    </row>
    <row r="35" spans="1:15" x14ac:dyDescent="0.2">
      <c r="B35" s="16"/>
      <c r="C35" s="14"/>
      <c r="D35" s="15"/>
      <c r="E35" s="15"/>
      <c r="F35" s="15"/>
      <c r="G35" s="15"/>
      <c r="H35" s="137">
        <f>+H34*H33</f>
        <v>11592.720000000001</v>
      </c>
      <c r="I35" s="11"/>
      <c r="J35" s="102"/>
      <c r="K35" s="519"/>
      <c r="L35" s="11"/>
      <c r="M35" s="11"/>
      <c r="N35" s="11"/>
    </row>
    <row r="36" spans="1:15" x14ac:dyDescent="0.2">
      <c r="C36" s="24"/>
      <c r="D36" s="47"/>
      <c r="E36" s="482">
        <v>37256</v>
      </c>
      <c r="F36" s="479"/>
      <c r="G36" s="265"/>
      <c r="H36" s="501">
        <v>-68258</v>
      </c>
      <c r="I36" s="262"/>
      <c r="J36" s="102"/>
      <c r="K36" s="520"/>
      <c r="L36" s="14"/>
      <c r="M36" s="14"/>
      <c r="N36" s="16"/>
    </row>
    <row r="37" spans="1:15" x14ac:dyDescent="0.2">
      <c r="C37" s="14"/>
      <c r="D37" s="47"/>
      <c r="E37" s="263">
        <v>37268</v>
      </c>
      <c r="F37" s="479"/>
      <c r="G37" s="479"/>
      <c r="H37" s="322">
        <f>+H36+H35</f>
        <v>-56665.279999999999</v>
      </c>
      <c r="I37" s="262"/>
      <c r="J37" s="102"/>
      <c r="L37" s="15"/>
      <c r="M37" s="15"/>
      <c r="N37" s="46"/>
    </row>
    <row r="38" spans="1:15" x14ac:dyDescent="0.2">
      <c r="C38" s="14"/>
      <c r="D38" s="50"/>
      <c r="E38" s="483"/>
      <c r="F38" s="263"/>
      <c r="G38" s="483"/>
      <c r="H38" s="111"/>
      <c r="I38" s="51"/>
      <c r="J38" s="102"/>
      <c r="K38" s="521"/>
      <c r="L38" s="47"/>
      <c r="M38" s="48"/>
      <c r="N38" s="46"/>
    </row>
    <row r="39" spans="1:15" x14ac:dyDescent="0.2">
      <c r="C39" s="14"/>
      <c r="D39" s="50"/>
      <c r="E39" s="483"/>
      <c r="F39" s="263"/>
      <c r="G39" s="483"/>
      <c r="H39" s="111"/>
      <c r="I39" s="51"/>
      <c r="J39" s="102"/>
      <c r="L39" s="47"/>
      <c r="M39" s="47"/>
      <c r="N39" s="24"/>
    </row>
    <row r="40" spans="1:15" x14ac:dyDescent="0.2">
      <c r="A40" s="101"/>
      <c r="B40" s="11"/>
      <c r="C40" s="11"/>
      <c r="D40" s="11"/>
      <c r="E40" s="129"/>
      <c r="F40" s="129"/>
      <c r="G40" s="129"/>
      <c r="H40" s="129"/>
      <c r="I40" s="262"/>
      <c r="J40" s="102"/>
      <c r="K40" s="522"/>
      <c r="L40" s="50"/>
      <c r="M40" s="50"/>
      <c r="N40" s="106"/>
    </row>
    <row r="41" spans="1:15" x14ac:dyDescent="0.2">
      <c r="A41" s="101"/>
      <c r="B41" s="11"/>
      <c r="C41" s="11"/>
      <c r="D41" s="11"/>
      <c r="E41" s="129"/>
      <c r="F41" s="129"/>
      <c r="G41" s="129"/>
      <c r="H41" s="129"/>
      <c r="I41" s="262"/>
      <c r="J41" s="102"/>
      <c r="K41" s="522"/>
      <c r="L41" s="50"/>
      <c r="M41" s="50"/>
      <c r="N41" s="106"/>
    </row>
    <row r="42" spans="1:15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</row>
    <row r="43" spans="1:15" x14ac:dyDescent="0.2">
      <c r="A43" s="101"/>
      <c r="B43" s="32" t="s">
        <v>149</v>
      </c>
      <c r="E43" s="249"/>
      <c r="F43" s="129"/>
      <c r="G43" s="129"/>
      <c r="H43" s="129"/>
      <c r="I43" s="262"/>
      <c r="J43" s="102"/>
    </row>
    <row r="44" spans="1:15" x14ac:dyDescent="0.2">
      <c r="A44" s="101"/>
      <c r="B44" s="49">
        <f>+E36</f>
        <v>37256</v>
      </c>
      <c r="E44" s="491">
        <v>-5084</v>
      </c>
      <c r="F44" s="129"/>
      <c r="G44" s="129"/>
      <c r="H44" s="129">
        <f>27452*2.81</f>
        <v>77140.12</v>
      </c>
      <c r="I44" s="262"/>
      <c r="J44" s="102"/>
      <c r="L44" s="2"/>
    </row>
    <row r="45" spans="1:15" x14ac:dyDescent="0.2">
      <c r="A45" s="101"/>
      <c r="B45" s="49">
        <f>+E37</f>
        <v>37268</v>
      </c>
      <c r="E45" s="464">
        <f>+H33</f>
        <v>5367</v>
      </c>
      <c r="F45" s="129"/>
      <c r="G45" s="129"/>
      <c r="H45" s="129"/>
      <c r="I45" s="262"/>
      <c r="J45" s="102"/>
      <c r="L45" s="2"/>
    </row>
    <row r="46" spans="1:15" x14ac:dyDescent="0.2">
      <c r="A46" s="101"/>
      <c r="E46" s="262">
        <f>+E45+E44</f>
        <v>283</v>
      </c>
      <c r="F46" s="129"/>
      <c r="G46" s="129"/>
      <c r="H46" s="129"/>
      <c r="I46" s="262"/>
      <c r="J46" s="102"/>
      <c r="K46" s="523"/>
      <c r="L46" s="38"/>
      <c r="M46" s="4"/>
    </row>
    <row r="47" spans="1:15" ht="13.2" x14ac:dyDescent="0.25">
      <c r="A47" s="101"/>
      <c r="B47" s="139"/>
      <c r="C47" s="119"/>
      <c r="D47" s="140"/>
      <c r="E47" s="484"/>
      <c r="F47" s="129"/>
      <c r="G47" s="129"/>
      <c r="H47" s="129"/>
      <c r="I47" s="485"/>
      <c r="J47" s="102"/>
      <c r="K47" s="524"/>
      <c r="L47" s="6"/>
      <c r="M47" s="6"/>
    </row>
    <row r="48" spans="1:15" x14ac:dyDescent="0.2">
      <c r="A48" s="101"/>
      <c r="B48" s="11"/>
      <c r="C48" s="11"/>
      <c r="D48" s="11"/>
      <c r="E48" s="11"/>
      <c r="F48" s="11"/>
      <c r="G48" s="11"/>
      <c r="H48" s="11"/>
      <c r="I48" s="11"/>
      <c r="J48" s="102"/>
      <c r="K48" s="519"/>
      <c r="L48" s="11"/>
      <c r="M48" s="11"/>
      <c r="N48" s="11"/>
      <c r="O48" s="16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11"/>
      <c r="J49" s="102"/>
      <c r="K49" s="519"/>
      <c r="L49" s="11"/>
      <c r="M49" s="11"/>
      <c r="N49" s="11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9"/>
      <c r="L50" s="11"/>
      <c r="M50" s="11"/>
      <c r="N50" s="11"/>
    </row>
    <row r="51" spans="1:15" x14ac:dyDescent="0.2">
      <c r="A51" s="101"/>
      <c r="B51" s="11"/>
      <c r="C51" s="11"/>
      <c r="D51" s="11"/>
      <c r="E51" s="103"/>
      <c r="F51" s="11"/>
      <c r="G51" s="11"/>
      <c r="H51" s="11"/>
      <c r="I51" s="11"/>
      <c r="J51" s="102"/>
      <c r="K51" s="519"/>
      <c r="L51" s="11"/>
      <c r="M51" s="11"/>
      <c r="N51" s="11"/>
    </row>
    <row r="52" spans="1:15" x14ac:dyDescent="0.2">
      <c r="A52" s="101"/>
      <c r="B52" s="11"/>
      <c r="C52" s="11"/>
      <c r="D52" s="11"/>
      <c r="E52" s="103"/>
      <c r="F52" s="11"/>
      <c r="G52" s="11"/>
      <c r="H52" s="11"/>
      <c r="I52" s="11"/>
      <c r="J52" s="102"/>
      <c r="K52" s="519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519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519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9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9"/>
      <c r="L56" s="11"/>
      <c r="M56" s="11"/>
      <c r="N56" s="11"/>
    </row>
    <row r="57" spans="1:15" x14ac:dyDescent="0.2">
      <c r="A57" s="107"/>
      <c r="B57" s="11"/>
      <c r="C57" s="11"/>
      <c r="D57" s="11"/>
      <c r="E57" s="11"/>
      <c r="F57" s="11"/>
      <c r="G57" s="11"/>
      <c r="H57" s="11"/>
      <c r="I57" s="11"/>
      <c r="J57" s="102"/>
      <c r="K57" s="519"/>
      <c r="L57" s="11"/>
      <c r="M57" s="11"/>
      <c r="N57" s="11"/>
    </row>
    <row r="58" spans="1:15" x14ac:dyDescent="0.2">
      <c r="A58" s="107"/>
      <c r="B58" s="11"/>
      <c r="C58" s="11"/>
      <c r="D58" s="11"/>
      <c r="E58" s="11"/>
      <c r="F58" s="11"/>
      <c r="G58" s="11"/>
      <c r="H58" s="11"/>
      <c r="I58" s="11"/>
      <c r="J58" s="102"/>
      <c r="K58" s="519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9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9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9"/>
      <c r="L61" s="11"/>
      <c r="M61" s="11"/>
      <c r="N61" s="11"/>
    </row>
    <row r="62" spans="1:15" x14ac:dyDescent="0.2">
      <c r="A62" s="107"/>
      <c r="B62" s="11"/>
      <c r="C62" s="11"/>
      <c r="D62" s="108"/>
      <c r="E62" s="11"/>
      <c r="F62" s="11"/>
      <c r="G62" s="11"/>
      <c r="H62" s="11"/>
      <c r="I62" s="11"/>
      <c r="J62" s="102"/>
      <c r="K62" s="519"/>
      <c r="L62" s="11"/>
      <c r="M62" s="11"/>
      <c r="N62" s="11"/>
      <c r="O62" s="16"/>
    </row>
    <row r="63" spans="1:15" x14ac:dyDescent="0.2">
      <c r="A63" s="101"/>
      <c r="B63" s="11"/>
      <c r="C63" s="11"/>
      <c r="D63" s="108"/>
      <c r="E63" s="11"/>
      <c r="F63" s="11"/>
      <c r="G63" s="11"/>
      <c r="H63" s="11"/>
      <c r="I63" s="11"/>
      <c r="J63" s="102"/>
      <c r="K63" s="519"/>
      <c r="L63" s="11"/>
      <c r="M63" s="11"/>
      <c r="N63" s="11"/>
    </row>
    <row r="64" spans="1:15" x14ac:dyDescent="0.2">
      <c r="A64" s="101"/>
      <c r="B64" s="11"/>
      <c r="C64" s="11"/>
      <c r="D64" s="11"/>
      <c r="E64" s="11"/>
      <c r="F64" s="11"/>
      <c r="G64" s="11"/>
      <c r="H64" s="11"/>
      <c r="I64" s="11"/>
      <c r="J64" s="102"/>
      <c r="K64" s="519"/>
      <c r="L64" s="11"/>
      <c r="M64" s="11"/>
      <c r="N64" s="11"/>
    </row>
    <row r="65" spans="1:14" x14ac:dyDescent="0.2">
      <c r="A65" s="101"/>
      <c r="B65" s="11"/>
      <c r="C65" s="11"/>
      <c r="D65" s="11"/>
      <c r="E65" s="11"/>
      <c r="F65" s="11"/>
      <c r="G65" s="11"/>
      <c r="H65" s="11"/>
      <c r="I65" s="11"/>
      <c r="J65" s="102"/>
      <c r="K65" s="519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9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9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J68" s="102"/>
      <c r="K68" s="519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J69" s="102"/>
      <c r="K69" s="519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9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9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9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9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I74" s="11"/>
      <c r="J74" s="102"/>
      <c r="K74" s="519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I75" s="11"/>
      <c r="J75" s="102"/>
      <c r="K75" s="519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9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9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9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9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281"/>
      <c r="L80" s="24"/>
      <c r="M80" s="24"/>
      <c r="N80" s="25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L81" s="15"/>
      <c r="M81" s="15"/>
      <c r="N81" s="46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521"/>
      <c r="L82" s="47"/>
      <c r="M82" s="48"/>
      <c r="N82" s="46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47"/>
      <c r="M83" s="47"/>
      <c r="N83" s="24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22"/>
      <c r="L84" s="50"/>
      <c r="M84" s="50"/>
      <c r="N84" s="10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522"/>
      <c r="L85" s="50"/>
      <c r="M85" s="50"/>
      <c r="N85" s="106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J86" s="102"/>
    </row>
    <row r="87" spans="1:14" x14ac:dyDescent="0.2">
      <c r="A87" s="41"/>
      <c r="B87" s="11"/>
      <c r="C87" s="11"/>
      <c r="D87" s="11"/>
      <c r="E87" s="11"/>
      <c r="F87" s="11"/>
      <c r="G87" s="11"/>
      <c r="H87" s="11"/>
      <c r="J87" s="104"/>
      <c r="L87" s="2"/>
    </row>
    <row r="88" spans="1:14" x14ac:dyDescent="0.2">
      <c r="A88" s="45"/>
      <c r="C88" s="14"/>
      <c r="D88" s="14"/>
      <c r="E88" s="14"/>
      <c r="F88" s="14"/>
      <c r="G88" s="14"/>
      <c r="H88" s="16"/>
      <c r="J88" s="38"/>
      <c r="K88" s="523"/>
      <c r="L88" s="38"/>
      <c r="M88" s="4"/>
    </row>
    <row r="89" spans="1:14" x14ac:dyDescent="0.2">
      <c r="C89" s="15"/>
      <c r="D89" s="15"/>
      <c r="E89" s="15"/>
      <c r="F89" s="15"/>
      <c r="G89" s="15"/>
      <c r="H89" s="46"/>
      <c r="I89" s="40"/>
      <c r="J89" s="6"/>
      <c r="K89" s="524"/>
      <c r="L89" s="6"/>
      <c r="M89" s="6"/>
    </row>
    <row r="90" spans="1:14" x14ac:dyDescent="0.2">
      <c r="I90" s="11"/>
      <c r="J90" s="11"/>
      <c r="K90" s="519"/>
      <c r="L90" s="11"/>
      <c r="M90" s="11"/>
      <c r="N90" s="11"/>
    </row>
    <row r="91" spans="1:14" x14ac:dyDescent="0.2">
      <c r="G91" s="41"/>
      <c r="H91" s="11"/>
      <c r="I91" s="11"/>
      <c r="J91" s="11"/>
      <c r="K91" s="519"/>
      <c r="L91" s="11"/>
      <c r="M91" s="11"/>
      <c r="N91" s="11"/>
    </row>
    <row r="92" spans="1:14" x14ac:dyDescent="0.2">
      <c r="G92" s="41"/>
      <c r="H92" s="11"/>
      <c r="I92" s="11"/>
      <c r="J92" s="11"/>
      <c r="K92" s="519"/>
      <c r="L92" s="11"/>
      <c r="M92" s="11"/>
      <c r="N92" s="11"/>
    </row>
    <row r="93" spans="1:14" x14ac:dyDescent="0.2">
      <c r="G93" s="41"/>
      <c r="H93" s="11"/>
      <c r="I93" s="11"/>
      <c r="J93" s="11"/>
      <c r="K93" s="519"/>
      <c r="L93" s="11"/>
      <c r="M93" s="11"/>
      <c r="N93" s="11"/>
    </row>
    <row r="94" spans="1:14" x14ac:dyDescent="0.2">
      <c r="G94" s="41"/>
      <c r="H94" s="11"/>
      <c r="I94" s="11"/>
      <c r="J94" s="11"/>
      <c r="K94" s="519"/>
      <c r="L94" s="11"/>
      <c r="M94" s="11"/>
      <c r="N94" s="11"/>
    </row>
    <row r="95" spans="1:14" x14ac:dyDescent="0.2">
      <c r="G95" s="41"/>
      <c r="H95" s="11"/>
      <c r="I95" s="11"/>
      <c r="J95" s="11"/>
      <c r="K95" s="519"/>
      <c r="L95" s="11"/>
      <c r="M95" s="11"/>
      <c r="N95" s="11"/>
    </row>
    <row r="96" spans="1:14" x14ac:dyDescent="0.2">
      <c r="G96" s="41"/>
      <c r="H96" s="11"/>
      <c r="I96" s="11"/>
      <c r="J96" s="11"/>
      <c r="K96" s="519"/>
      <c r="L96" s="11"/>
      <c r="M96" s="11"/>
      <c r="N96" s="11"/>
    </row>
    <row r="97" spans="7:14" x14ac:dyDescent="0.2">
      <c r="G97" s="41"/>
      <c r="H97" s="11"/>
      <c r="I97" s="11"/>
      <c r="J97" s="11"/>
      <c r="K97" s="519"/>
      <c r="L97" s="11"/>
      <c r="M97" s="11"/>
      <c r="N97" s="11"/>
    </row>
    <row r="98" spans="7:14" x14ac:dyDescent="0.2">
      <c r="G98" s="41"/>
      <c r="H98" s="11"/>
      <c r="I98" s="11"/>
      <c r="J98" s="11"/>
      <c r="K98" s="519"/>
      <c r="L98" s="11"/>
      <c r="M98" s="11"/>
      <c r="N98" s="11"/>
    </row>
    <row r="99" spans="7:14" x14ac:dyDescent="0.2">
      <c r="G99" s="41"/>
      <c r="H99" s="11"/>
      <c r="I99" s="11"/>
      <c r="J99" s="11"/>
      <c r="K99" s="519"/>
      <c r="L99" s="11"/>
      <c r="M99" s="11"/>
      <c r="N99" s="11"/>
    </row>
    <row r="100" spans="7:14" x14ac:dyDescent="0.2">
      <c r="G100" s="41"/>
      <c r="H100" s="11"/>
      <c r="I100" s="11"/>
      <c r="J100" s="11"/>
      <c r="K100" s="519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9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9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9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9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9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9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9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9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9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9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9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9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9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9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9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9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9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9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9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9"/>
      <c r="L120" s="11"/>
      <c r="M120" s="11"/>
      <c r="N120" s="11"/>
    </row>
    <row r="121" spans="7:14" x14ac:dyDescent="0.2">
      <c r="G121" s="45"/>
      <c r="I121" s="24"/>
      <c r="J121" s="24"/>
      <c r="K121" s="281"/>
      <c r="L121" s="24"/>
      <c r="M121" s="24"/>
      <c r="N121" s="25"/>
    </row>
    <row r="122" spans="7:14" x14ac:dyDescent="0.2">
      <c r="J122" s="15"/>
      <c r="L122" s="15"/>
      <c r="M122" s="15"/>
      <c r="N122" s="46"/>
    </row>
    <row r="123" spans="7:14" x14ac:dyDescent="0.2">
      <c r="I123" s="24"/>
      <c r="J123" s="47"/>
      <c r="K123" s="521"/>
      <c r="L123" s="47"/>
      <c r="M123" s="48"/>
      <c r="N123" s="46"/>
    </row>
    <row r="124" spans="7:14" x14ac:dyDescent="0.2">
      <c r="J124" s="47"/>
      <c r="L124" s="47"/>
      <c r="M124" s="47"/>
      <c r="N124" s="24"/>
    </row>
    <row r="125" spans="7:14" x14ac:dyDescent="0.2">
      <c r="G125" s="57"/>
      <c r="J125" s="50"/>
      <c r="K125" s="522"/>
      <c r="L125" s="50"/>
      <c r="M125" s="50"/>
      <c r="N125" s="106"/>
    </row>
    <row r="126" spans="7:14" x14ac:dyDescent="0.2">
      <c r="G126" s="57"/>
      <c r="J126" s="50"/>
      <c r="K126" s="522"/>
      <c r="L126" s="50"/>
      <c r="M126" s="50"/>
      <c r="N126" s="109"/>
    </row>
    <row r="130" spans="7:14" x14ac:dyDescent="0.2">
      <c r="G130" s="37"/>
      <c r="L130" s="2"/>
    </row>
    <row r="131" spans="7:14" x14ac:dyDescent="0.2">
      <c r="G131" s="2"/>
      <c r="H131" s="2"/>
      <c r="J131" s="38"/>
      <c r="K131" s="523"/>
      <c r="L131" s="38"/>
      <c r="M131" s="4"/>
    </row>
    <row r="132" spans="7:14" x14ac:dyDescent="0.2">
      <c r="G132" s="39"/>
      <c r="H132" s="6"/>
      <c r="I132" s="40"/>
      <c r="J132" s="6"/>
      <c r="K132" s="524"/>
      <c r="L132" s="6"/>
      <c r="M132" s="6"/>
    </row>
    <row r="133" spans="7:14" x14ac:dyDescent="0.2">
      <c r="G133" s="41"/>
      <c r="H133" s="11"/>
      <c r="I133" s="11"/>
      <c r="J133" s="11"/>
      <c r="K133" s="519"/>
      <c r="L133" s="11"/>
      <c r="M133" s="11"/>
      <c r="N133" s="11"/>
    </row>
    <row r="134" spans="7:14" x14ac:dyDescent="0.2">
      <c r="G134" s="41"/>
      <c r="H134" s="11"/>
      <c r="I134" s="11"/>
      <c r="J134" s="11"/>
      <c r="K134" s="519"/>
      <c r="L134" s="11"/>
      <c r="M134" s="11"/>
      <c r="N134" s="11"/>
    </row>
    <row r="135" spans="7:14" x14ac:dyDescent="0.2">
      <c r="G135" s="41"/>
      <c r="H135" s="11"/>
      <c r="I135" s="11"/>
      <c r="J135" s="11"/>
      <c r="K135" s="519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9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9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9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9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9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9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9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9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9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9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9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9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9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9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9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9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9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9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9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9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9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9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9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9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9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9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9"/>
      <c r="L162" s="11"/>
      <c r="M162" s="11"/>
      <c r="N162" s="11"/>
    </row>
    <row r="163" spans="7:14" x14ac:dyDescent="0.2">
      <c r="G163" s="41"/>
      <c r="H163" s="42"/>
      <c r="I163" s="42"/>
      <c r="J163" s="42"/>
      <c r="K163" s="525"/>
      <c r="L163" s="42"/>
      <c r="M163" s="42"/>
      <c r="N163" s="42"/>
    </row>
    <row r="164" spans="7:14" x14ac:dyDescent="0.2">
      <c r="G164" s="41"/>
      <c r="H164" s="11"/>
      <c r="I164" s="44"/>
      <c r="J164" s="11"/>
      <c r="K164" s="526"/>
      <c r="L164" s="11"/>
      <c r="M164" s="11"/>
      <c r="N164" s="11"/>
    </row>
    <row r="165" spans="7:14" x14ac:dyDescent="0.2">
      <c r="G165" s="45"/>
      <c r="I165" s="24"/>
      <c r="J165" s="24"/>
      <c r="K165" s="281"/>
      <c r="L165" s="24"/>
      <c r="M165" s="24"/>
      <c r="N165" s="25"/>
    </row>
    <row r="166" spans="7:14" x14ac:dyDescent="0.2">
      <c r="J166" s="15"/>
      <c r="L166" s="15"/>
      <c r="M166" s="15"/>
      <c r="N166" s="46"/>
    </row>
    <row r="167" spans="7:14" x14ac:dyDescent="0.2">
      <c r="I167" s="24"/>
      <c r="J167" s="47"/>
      <c r="K167" s="521"/>
      <c r="L167" s="47"/>
      <c r="M167" s="48"/>
      <c r="N167" s="110"/>
    </row>
    <row r="168" spans="7:14" x14ac:dyDescent="0.2">
      <c r="J168" s="47"/>
      <c r="L168" s="47"/>
      <c r="M168" s="47"/>
      <c r="N168" s="24"/>
    </row>
    <row r="169" spans="7:14" x14ac:dyDescent="0.2">
      <c r="J169" s="50"/>
      <c r="K169" s="522"/>
      <c r="L169" s="57"/>
      <c r="M169" s="50"/>
      <c r="N169" s="106"/>
    </row>
    <row r="170" spans="7:14" x14ac:dyDescent="0.2">
      <c r="J170" s="50"/>
      <c r="K170" s="522"/>
      <c r="L170" s="57"/>
      <c r="M170" s="50"/>
      <c r="N170" s="109"/>
    </row>
    <row r="174" spans="7:14" x14ac:dyDescent="0.2">
      <c r="G174" s="37"/>
      <c r="L174" s="2"/>
    </row>
    <row r="175" spans="7:14" x14ac:dyDescent="0.2">
      <c r="G175" s="2"/>
      <c r="H175" s="2"/>
      <c r="J175" s="38"/>
      <c r="K175" s="523"/>
      <c r="L175" s="38"/>
      <c r="M175" s="4"/>
    </row>
    <row r="176" spans="7:14" x14ac:dyDescent="0.2">
      <c r="G176" s="39"/>
      <c r="H176" s="6"/>
      <c r="I176" s="40"/>
      <c r="J176" s="6"/>
      <c r="K176" s="524"/>
      <c r="L176" s="6"/>
      <c r="M176" s="6"/>
    </row>
    <row r="177" spans="7:14" x14ac:dyDescent="0.2">
      <c r="G177" s="41"/>
      <c r="H177" s="11"/>
      <c r="I177" s="11"/>
      <c r="J177" s="11"/>
      <c r="K177" s="519"/>
      <c r="L177" s="11"/>
      <c r="M177" s="11"/>
      <c r="N177" s="11"/>
    </row>
    <row r="178" spans="7:14" x14ac:dyDescent="0.2">
      <c r="G178" s="41"/>
      <c r="H178" s="11"/>
      <c r="I178" s="11"/>
      <c r="J178" s="11"/>
      <c r="K178" s="519"/>
      <c r="L178" s="11"/>
      <c r="M178" s="11"/>
      <c r="N178" s="11"/>
    </row>
    <row r="179" spans="7:14" x14ac:dyDescent="0.2">
      <c r="G179" s="41"/>
      <c r="H179" s="11"/>
      <c r="I179" s="11"/>
      <c r="J179" s="11"/>
      <c r="K179" s="519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9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9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9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9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9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9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9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9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9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9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9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9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9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9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9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9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9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9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9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9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9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9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9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9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9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9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9"/>
      <c r="L206" s="11"/>
      <c r="M206" s="11"/>
      <c r="N206" s="11"/>
    </row>
    <row r="207" spans="7:14" x14ac:dyDescent="0.2">
      <c r="G207" s="41"/>
      <c r="H207" s="42"/>
      <c r="I207" s="42"/>
      <c r="J207" s="42"/>
      <c r="K207" s="525"/>
      <c r="L207" s="42"/>
      <c r="M207" s="42"/>
      <c r="N207" s="42"/>
    </row>
    <row r="208" spans="7:14" x14ac:dyDescent="0.2">
      <c r="G208" s="41"/>
      <c r="H208" s="11"/>
      <c r="I208" s="44"/>
      <c r="J208" s="11"/>
      <c r="K208" s="526"/>
      <c r="L208" s="11"/>
      <c r="M208" s="11"/>
      <c r="N208" s="11"/>
    </row>
    <row r="209" spans="7:14" x14ac:dyDescent="0.2">
      <c r="G209" s="45"/>
      <c r="I209" s="24"/>
      <c r="J209" s="24"/>
      <c r="K209" s="281"/>
      <c r="L209" s="24"/>
      <c r="M209" s="24"/>
      <c r="N209" s="25"/>
    </row>
    <row r="210" spans="7:14" x14ac:dyDescent="0.2">
      <c r="J210" s="15"/>
      <c r="L210" s="15"/>
      <c r="M210" s="15"/>
      <c r="N210" s="46"/>
    </row>
    <row r="211" spans="7:14" x14ac:dyDescent="0.2">
      <c r="I211" s="24"/>
      <c r="J211" s="47"/>
      <c r="K211" s="521"/>
      <c r="L211" s="47"/>
      <c r="M211" s="48"/>
      <c r="N211" s="110"/>
    </row>
    <row r="212" spans="7:14" x14ac:dyDescent="0.2">
      <c r="J212" s="47"/>
      <c r="L212" s="47"/>
      <c r="M212" s="47"/>
      <c r="N212" s="24"/>
    </row>
    <row r="213" spans="7:14" x14ac:dyDescent="0.2">
      <c r="J213" s="50"/>
      <c r="K213" s="522"/>
      <c r="L213" s="57"/>
      <c r="M213" s="50"/>
      <c r="N213" s="106"/>
    </row>
    <row r="214" spans="7:14" x14ac:dyDescent="0.2">
      <c r="J214" s="50"/>
      <c r="K214" s="522"/>
      <c r="L214" s="57"/>
      <c r="M214" s="50"/>
      <c r="N214" s="111"/>
    </row>
    <row r="217" spans="7:14" x14ac:dyDescent="0.2">
      <c r="G217" s="37"/>
      <c r="L217" s="2"/>
    </row>
    <row r="218" spans="7:14" x14ac:dyDescent="0.2">
      <c r="G218" s="2"/>
      <c r="H218" s="2"/>
      <c r="J218" s="38"/>
      <c r="K218" s="523"/>
      <c r="L218" s="38"/>
      <c r="M218" s="4"/>
    </row>
    <row r="219" spans="7:14" x14ac:dyDescent="0.2">
      <c r="G219" s="39"/>
      <c r="H219" s="6"/>
      <c r="I219" s="40"/>
      <c r="J219" s="6"/>
      <c r="K219" s="524"/>
      <c r="L219" s="6"/>
      <c r="M219" s="6"/>
    </row>
    <row r="220" spans="7:14" x14ac:dyDescent="0.2">
      <c r="G220" s="41"/>
      <c r="H220" s="11"/>
      <c r="I220" s="11"/>
      <c r="J220" s="11"/>
      <c r="K220" s="519"/>
      <c r="L220" s="11"/>
      <c r="M220" s="11"/>
      <c r="N220" s="11"/>
    </row>
    <row r="221" spans="7:14" x14ac:dyDescent="0.2">
      <c r="G221" s="41"/>
      <c r="H221" s="11"/>
      <c r="I221" s="11"/>
      <c r="J221" s="11"/>
      <c r="K221" s="519"/>
      <c r="L221" s="11"/>
      <c r="M221" s="11"/>
      <c r="N221" s="11"/>
    </row>
    <row r="222" spans="7:14" x14ac:dyDescent="0.2">
      <c r="G222" s="41"/>
      <c r="H222" s="11"/>
      <c r="I222" s="11"/>
      <c r="J222" s="11"/>
      <c r="K222" s="519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9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9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9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9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9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9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9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9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9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9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9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9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9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9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9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9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9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9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9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9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9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9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9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9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9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9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9"/>
      <c r="L249" s="11"/>
      <c r="M249" s="11"/>
      <c r="N249" s="11"/>
    </row>
    <row r="250" spans="7:14" x14ac:dyDescent="0.2">
      <c r="G250" s="41"/>
      <c r="H250" s="42"/>
      <c r="I250" s="42"/>
      <c r="J250" s="42"/>
      <c r="K250" s="525"/>
      <c r="L250" s="42"/>
      <c r="M250" s="42"/>
      <c r="N250" s="42"/>
    </row>
    <row r="251" spans="7:14" x14ac:dyDescent="0.2">
      <c r="G251" s="41"/>
      <c r="H251" s="11"/>
      <c r="I251" s="44"/>
      <c r="J251" s="11"/>
      <c r="K251" s="526"/>
      <c r="L251" s="11"/>
      <c r="M251" s="11"/>
      <c r="N251" s="11"/>
    </row>
    <row r="252" spans="7:14" x14ac:dyDescent="0.2">
      <c r="G252" s="45"/>
      <c r="I252" s="24"/>
      <c r="J252" s="24"/>
      <c r="K252" s="281"/>
      <c r="L252" s="24"/>
      <c r="M252" s="24"/>
      <c r="N252" s="25"/>
    </row>
    <row r="253" spans="7:14" x14ac:dyDescent="0.2">
      <c r="J253" s="15"/>
      <c r="L253" s="15"/>
      <c r="M253" s="15"/>
      <c r="N253" s="46"/>
    </row>
    <row r="254" spans="7:14" x14ac:dyDescent="0.2">
      <c r="I254" s="24"/>
      <c r="J254" s="47"/>
      <c r="K254" s="521"/>
      <c r="L254" s="47"/>
      <c r="M254" s="48"/>
      <c r="N254" s="110"/>
    </row>
    <row r="255" spans="7:14" x14ac:dyDescent="0.2">
      <c r="J255" s="47"/>
      <c r="L255" s="47"/>
      <c r="M255" s="47"/>
      <c r="N255" s="24"/>
    </row>
    <row r="256" spans="7:14" x14ac:dyDescent="0.2">
      <c r="J256" s="50"/>
      <c r="K256" s="522"/>
      <c r="L256" s="57"/>
      <c r="M256" s="50"/>
      <c r="N256" s="106"/>
    </row>
    <row r="257" spans="10:14" x14ac:dyDescent="0.2">
      <c r="J257" s="50"/>
      <c r="K257" s="522"/>
      <c r="L257" s="57"/>
      <c r="M257" s="50"/>
      <c r="N257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9" workbookViewId="0">
      <selection activeCell="A39" sqref="A39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-299882</v>
      </c>
      <c r="E14" s="11">
        <v>-301891</v>
      </c>
      <c r="F14" s="11"/>
      <c r="G14" s="11"/>
      <c r="H14" s="24">
        <f t="shared" si="0"/>
        <v>-2009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-257687</v>
      </c>
      <c r="E15" s="11">
        <v>-291787</v>
      </c>
      <c r="F15" s="11"/>
      <c r="G15" s="11"/>
      <c r="H15" s="24">
        <f t="shared" si="0"/>
        <v>-34100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>
        <v>-255903</v>
      </c>
      <c r="E16" s="11">
        <v>-270240</v>
      </c>
      <c r="F16" s="11"/>
      <c r="G16" s="11"/>
      <c r="H16" s="24">
        <f t="shared" si="0"/>
        <v>-14337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-3503509</v>
      </c>
      <c r="E36" s="11">
        <f t="shared" si="15"/>
        <v>-3549831</v>
      </c>
      <c r="F36" s="11">
        <f t="shared" si="15"/>
        <v>0</v>
      </c>
      <c r="G36" s="11">
        <f t="shared" si="15"/>
        <v>0</v>
      </c>
      <c r="H36" s="11">
        <f t="shared" si="15"/>
        <v>-46322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-46322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37256</v>
      </c>
      <c r="B38" s="2" t="s">
        <v>45</v>
      </c>
      <c r="C38" s="547">
        <v>64269</v>
      </c>
      <c r="D38" s="323"/>
      <c r="E38" s="548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37268</v>
      </c>
      <c r="B39" s="2" t="s">
        <v>45</v>
      </c>
      <c r="C39" s="131">
        <f>+C38+C37</f>
        <v>64269</v>
      </c>
      <c r="D39" s="252"/>
      <c r="E39" s="131">
        <f>+E38+E37</f>
        <v>-68481</v>
      </c>
      <c r="F39" s="252"/>
      <c r="G39" s="131"/>
      <c r="H39" s="131">
        <f>+H38+H36</f>
        <v>-4212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37256</v>
      </c>
      <c r="B44" s="32"/>
      <c r="C44" s="559">
        <v>-1582961.01</v>
      </c>
      <c r="D44" s="205"/>
      <c r="E44" s="560">
        <v>1039794.5</v>
      </c>
      <c r="F44" s="47">
        <f>+E44+C44</f>
        <v>-543166.51</v>
      </c>
      <c r="G44" s="247">
        <f>+G42-G43</f>
        <v>15616</v>
      </c>
      <c r="H44" s="38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37268</v>
      </c>
      <c r="B45" s="32"/>
      <c r="C45" s="47">
        <f>+C37*summary!I4</f>
        <v>0</v>
      </c>
      <c r="D45" s="205"/>
      <c r="E45" s="382">
        <f>+E37*summary!I3</f>
        <v>-98665.86</v>
      </c>
      <c r="F45" s="47">
        <f>+E45+C45</f>
        <v>-98665.86</v>
      </c>
      <c r="G45" s="247"/>
      <c r="H45" s="38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-1582961.01</v>
      </c>
      <c r="D46" s="205"/>
      <c r="E46" s="382">
        <v>925707</v>
      </c>
      <c r="F46" s="47">
        <f>+E46+C46</f>
        <v>-657254.01</v>
      </c>
      <c r="G46" s="247"/>
      <c r="H46" s="38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82"/>
      <c r="D47" s="382"/>
      <c r="E47" s="382"/>
      <c r="F47" s="47"/>
      <c r="G47" s="247"/>
      <c r="H47" s="38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7" workbookViewId="0">
      <selection activeCell="D39" sqref="D39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147784</v>
      </c>
      <c r="C15" s="11">
        <v>147401</v>
      </c>
      <c r="D15" s="562">
        <v>12967</v>
      </c>
      <c r="E15" s="11">
        <v>13033</v>
      </c>
      <c r="F15" s="11">
        <f t="shared" si="5"/>
        <v>-317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147391</v>
      </c>
      <c r="C16" s="11">
        <v>146313</v>
      </c>
      <c r="D16" s="11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145996</v>
      </c>
      <c r="C17" s="11">
        <v>146796</v>
      </c>
      <c r="D17" s="11">
        <v>13916</v>
      </c>
      <c r="E17" s="11">
        <v>13033</v>
      </c>
      <c r="F17" s="11">
        <f t="shared" si="5"/>
        <v>-83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144461</v>
      </c>
      <c r="C18" s="11">
        <v>143768</v>
      </c>
      <c r="D18" s="11">
        <v>12830</v>
      </c>
      <c r="E18" s="11">
        <v>13033</v>
      </c>
      <c r="F18" s="11">
        <f t="shared" si="5"/>
        <v>-490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142026</v>
      </c>
      <c r="C19" s="11">
        <v>141216</v>
      </c>
      <c r="D19" s="11">
        <v>12532</v>
      </c>
      <c r="E19" s="11">
        <v>13033</v>
      </c>
      <c r="F19" s="11">
        <f t="shared" si="5"/>
        <v>-309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508">
        <f>+A45</f>
        <v>37268</v>
      </c>
      <c r="I23" s="11">
        <f>+B39</f>
        <v>1750366</v>
      </c>
      <c r="J23" s="11">
        <f>+C39</f>
        <v>1739703</v>
      </c>
      <c r="K23" s="11">
        <f>+D39</f>
        <v>154904</v>
      </c>
      <c r="L23" s="11">
        <f>+E39</f>
        <v>156396</v>
      </c>
      <c r="M23" s="42">
        <f>+J23-I23+L23-K23</f>
        <v>-9171</v>
      </c>
      <c r="N23" s="102">
        <f>+summary!I3</f>
        <v>2.13</v>
      </c>
      <c r="O23" s="510">
        <f>+N23*M23</f>
        <v>-19534.23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509">
        <f>SUM(M9:M23)</f>
        <v>80629</v>
      </c>
      <c r="N24" s="102"/>
      <c r="O24" s="102">
        <f>SUM(O9:O23)</f>
        <v>548582.11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/>
      <c r="C25" s="11"/>
      <c r="D25" s="11"/>
      <c r="E25" s="11"/>
      <c r="F25" s="11">
        <f t="shared" si="5"/>
        <v>0</v>
      </c>
      <c r="G25" s="309"/>
      <c r="H25" s="50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6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6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6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1750366</v>
      </c>
      <c r="C39" s="150">
        <f>SUM(C8:C38)</f>
        <v>1739703</v>
      </c>
      <c r="D39" s="150">
        <f>SUM(D8:D38)</f>
        <v>154904</v>
      </c>
      <c r="E39" s="150">
        <f>SUM(E8:E38)</f>
        <v>156396</v>
      </c>
      <c r="F39" s="11">
        <f t="shared" si="5"/>
        <v>-9171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50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37256</v>
      </c>
      <c r="B44" s="32"/>
      <c r="C44" s="467"/>
      <c r="D44" s="111"/>
      <c r="E44" s="467"/>
      <c r="F44" s="499">
        <v>30246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37268</v>
      </c>
      <c r="B45" s="32"/>
      <c r="C45" s="106"/>
      <c r="D45" s="106"/>
      <c r="E45" s="106"/>
      <c r="F45" s="24">
        <f>+F44+F39</f>
        <v>21075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311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37256</v>
      </c>
      <c r="B50" s="32"/>
      <c r="C50" s="32"/>
      <c r="D50" s="499">
        <v>434618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37268</v>
      </c>
      <c r="B51" s="32"/>
      <c r="C51" s="32"/>
      <c r="D51" s="355">
        <f>+F39*summary!I3</f>
        <v>-19534.23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415083.77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8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8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8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8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27</vt:i4>
      </vt:variant>
    </vt:vector>
  </HeadingPairs>
  <TitlesOfParts>
    <vt:vector size="71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2002-01-11T20:45:10Z</cp:lastPrinted>
  <dcterms:created xsi:type="dcterms:W3CDTF">2000-03-28T16:52:23Z</dcterms:created>
  <dcterms:modified xsi:type="dcterms:W3CDTF">2023-09-10T12:02:12Z</dcterms:modified>
</cp:coreProperties>
</file>