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0" i="89"/>
  <c r="D41" i="89"/>
  <c r="A46" i="89"/>
  <c r="D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<sst xmlns="http://schemas.openxmlformats.org/spreadsheetml/2006/main" count="926" uniqueCount="323">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</sst>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2.27</v>
          </cell>
          <cell r="K39">
            <v>2.1800000000000002</v>
          </cell>
          <cell r="M39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90" t="s">
        <v>78</v>
      </c>
      <c r="J2" s="393"/>
      <c r="K2" s="32"/>
    </row>
    <row r="3" spans="1:32" ht="12.9" customHeight="1" x14ac:dyDescent="0.25">
      <c r="D3" s="7"/>
      <c r="I3" s="391" t="s">
        <v>29</v>
      </c>
      <c r="J3" s="394">
        <f>+summary!H3</f>
        <v>2.1800000000000002</v>
      </c>
      <c r="K3" s="410">
        <f ca="1">NOW()</f>
        <v>37265.605967361109</v>
      </c>
    </row>
    <row r="4" spans="1:32" ht="12.9" customHeight="1" x14ac:dyDescent="0.25">
      <c r="A4" s="34" t="s">
        <v>145</v>
      </c>
      <c r="C4" s="34" t="s">
        <v>5</v>
      </c>
      <c r="D4" s="7"/>
      <c r="I4" s="392" t="s">
        <v>30</v>
      </c>
      <c r="J4" s="394">
        <f>+summary!H4</f>
        <v>2.2400000000000002</v>
      </c>
      <c r="K4" s="32"/>
    </row>
    <row r="5" spans="1:32" ht="12.9" customHeight="1" x14ac:dyDescent="0.25">
      <c r="D5" s="7"/>
      <c r="I5" s="391" t="s">
        <v>117</v>
      </c>
      <c r="J5" s="394">
        <f>+summary!H5</f>
        <v>2.27</v>
      </c>
      <c r="K5" s="32"/>
    </row>
    <row r="6" spans="1:32" ht="6.9" customHeight="1" x14ac:dyDescent="0.25"/>
    <row r="7" spans="1:32" ht="12.9" customHeight="1" x14ac:dyDescent="0.25">
      <c r="A7" s="408" t="s">
        <v>163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155</v>
      </c>
    </row>
    <row r="12" spans="1:32" ht="13.5" customHeight="1" outlineLevel="1" x14ac:dyDescent="0.25">
      <c r="A12" s="537" t="s">
        <v>127</v>
      </c>
      <c r="B12" s="351">
        <f>+Calpine!D41</f>
        <v>238134.28</v>
      </c>
      <c r="C12" s="376">
        <f>+B12/$J$4</f>
        <v>106309.94642857142</v>
      </c>
      <c r="D12" s="14">
        <f>+Calpine!D47</f>
        <v>199550</v>
      </c>
      <c r="E12" s="70">
        <f>+C12-D12</f>
        <v>-93240.05357142858</v>
      </c>
      <c r="F12" s="371">
        <f>+Calpine!A41</f>
        <v>37263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35251.56</v>
      </c>
      <c r="C13" s="375">
        <f>+B13/$J$4</f>
        <v>15737.303571428569</v>
      </c>
      <c r="D13" s="14">
        <f>+'Citizens-Griffith'!D48</f>
        <v>21646</v>
      </c>
      <c r="E13" s="70">
        <f>+C13-D13</f>
        <v>-5908.6964285714312</v>
      </c>
      <c r="F13" s="371">
        <f>+'Citizens-Griffith'!A41</f>
        <v>37263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302</v>
      </c>
      <c r="B14" s="489">
        <f>+SWGasTrans!D41</f>
        <v>-23505.279999999999</v>
      </c>
      <c r="C14" s="375">
        <f>+B14/J4</f>
        <v>-10493.428571428571</v>
      </c>
      <c r="D14" s="14">
        <f>+SWGasTrans!$D$48</f>
        <v>2532</v>
      </c>
      <c r="E14" s="70">
        <f>+C14-D14</f>
        <v>-13025.428571428571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-349284.36</v>
      </c>
      <c r="C15" s="375">
        <f>+B15/$J$4</f>
        <v>-155930.51785714284</v>
      </c>
      <c r="D15" s="14">
        <f>+'NS Steel'!D50</f>
        <v>-41710</v>
      </c>
      <c r="E15" s="70">
        <f>+C15-D15</f>
        <v>-114220.51785714284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37" t="s">
        <v>135</v>
      </c>
      <c r="B16" s="354">
        <f>+Citizens!D18</f>
        <v>-546563.24</v>
      </c>
      <c r="C16" s="377">
        <f>+B16/$J$4</f>
        <v>-244001.44642857139</v>
      </c>
      <c r="D16" s="355">
        <f>+Citizens!D24</f>
        <v>-40781</v>
      </c>
      <c r="E16" s="72">
        <f>+C16-D16</f>
        <v>-203220.44642857139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5">
        <f>SUBTOTAL(9,B12:B16)</f>
        <v>-645967.04</v>
      </c>
      <c r="C17" s="401">
        <f>SUBTOTAL(9,C12:C16)</f>
        <v>-288378.14285714284</v>
      </c>
      <c r="D17" s="402">
        <f>SUBTOTAL(9,D12:D16)</f>
        <v>141237</v>
      </c>
      <c r="E17" s="403">
        <f>SUBTOTAL(9,E12:E16)</f>
        <v>-429615.14285714284</v>
      </c>
      <c r="F17" s="371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5" t="s">
        <v>57</v>
      </c>
      <c r="G19" s="7"/>
    </row>
    <row r="20" spans="1:20" ht="13.5" customHeight="1" outlineLevel="2" x14ac:dyDescent="0.25">
      <c r="A20" s="248" t="s">
        <v>71</v>
      </c>
      <c r="B20" s="490">
        <f>+transcol!$D$43</f>
        <v>33601.480000000003</v>
      </c>
      <c r="C20" s="375">
        <f>+B20/$J$4</f>
        <v>15000.660714285714</v>
      </c>
      <c r="D20" s="14">
        <f>+transcol!D50</f>
        <v>-40505</v>
      </c>
      <c r="E20" s="70">
        <f>+C20-D20</f>
        <v>55505.66071428571</v>
      </c>
      <c r="F20" s="372">
        <f>+transcol!A43</f>
        <v>37263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37" t="s">
        <v>320</v>
      </c>
      <c r="B21" s="490">
        <f>+C21*J3</f>
        <v>67575.64</v>
      </c>
      <c r="C21" s="375">
        <f>+williams!J40</f>
        <v>30998</v>
      </c>
      <c r="D21" s="14">
        <f>+C21</f>
        <v>30998</v>
      </c>
      <c r="E21" s="70">
        <f>+C21-D21</f>
        <v>0</v>
      </c>
      <c r="F21" s="372">
        <f>+williams!A40</f>
        <v>37263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5">
      <c r="A22" s="537" t="s">
        <v>95</v>
      </c>
      <c r="B22" s="527">
        <f>+burlington!D42</f>
        <v>32759.839999999997</v>
      </c>
      <c r="C22" s="379">
        <f>+B22/$J$3</f>
        <v>15027.449541284401</v>
      </c>
      <c r="D22" s="355">
        <f>+burlington!D49</f>
        <v>13750</v>
      </c>
      <c r="E22" s="72">
        <f>+C22-D22</f>
        <v>1277.4495412844008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5">
        <f>SUBTOTAL(9,B20:B22)</f>
        <v>133936.95999999999</v>
      </c>
      <c r="C23" s="396">
        <f>SUBTOTAL(9,C20:C22)</f>
        <v>61026.110255570107</v>
      </c>
      <c r="D23" s="402">
        <f>SUBTOTAL(9,D20:D22)</f>
        <v>4243</v>
      </c>
      <c r="E23" s="403">
        <f>SUBTOTAL(9,E20:E22)</f>
        <v>56783.110255570107</v>
      </c>
      <c r="F23" s="371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" customHeight="1" outlineLevel="2" x14ac:dyDescent="0.25">
      <c r="A26" s="537" t="s">
        <v>87</v>
      </c>
      <c r="B26" s="489">
        <f>+NNG!$D$24</f>
        <v>10703.479999999996</v>
      </c>
      <c r="C26" s="375">
        <f t="shared" ref="C26:C46" si="0">+B26/$J$4</f>
        <v>4778.3392857142835</v>
      </c>
      <c r="D26" s="14">
        <f>+NNG!D34</f>
        <v>4662</v>
      </c>
      <c r="E26" s="70">
        <f t="shared" ref="E26:E48" si="1">+C26-D26</f>
        <v>116.33928571428351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9">
        <f>+Conoco!$F$41</f>
        <v>448700.31</v>
      </c>
      <c r="C27" s="375">
        <f t="shared" si="0"/>
        <v>200312.63839285713</v>
      </c>
      <c r="D27" s="14">
        <f>+Conoco!D48</f>
        <v>36074</v>
      </c>
      <c r="E27" s="70">
        <f t="shared" si="1"/>
        <v>164238.63839285713</v>
      </c>
      <c r="F27" s="371">
        <f>+Conoco!A41</f>
        <v>37263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177180.06</v>
      </c>
      <c r="C28" s="375">
        <f t="shared" si="0"/>
        <v>79098.241071428565</v>
      </c>
      <c r="D28" s="14">
        <f>+'Amoco Abo'!D49</f>
        <v>-356270</v>
      </c>
      <c r="E28" s="70">
        <f t="shared" si="1"/>
        <v>435368.24107142858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9">
        <f>+KN_Westar!F41</f>
        <v>385015.89</v>
      </c>
      <c r="C29" s="375">
        <f t="shared" si="0"/>
        <v>171882.09375</v>
      </c>
      <c r="D29" s="14">
        <f>+KN_Westar!D48</f>
        <v>-9522</v>
      </c>
      <c r="E29" s="70">
        <f t="shared" si="1"/>
        <v>181404.09375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37" t="s">
        <v>258</v>
      </c>
      <c r="B30" s="489">
        <f>+summary!B9</f>
        <v>1217067.3899999999</v>
      </c>
      <c r="C30" s="376">
        <f>+B30/$J$5</f>
        <v>536153.0352422907</v>
      </c>
      <c r="D30" s="14">
        <f>+Duke!$G$40+Duke!$H$40+Duke!$I$53+Duke!$I$54</f>
        <v>361187</v>
      </c>
      <c r="E30" s="70">
        <f t="shared" si="1"/>
        <v>174966.0352422907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37" t="s">
        <v>251</v>
      </c>
      <c r="B31" s="489">
        <f>+summary!B8</f>
        <v>1570563.17</v>
      </c>
      <c r="C31" s="376">
        <f>+B31/$J$5</f>
        <v>691878.04845814977</v>
      </c>
      <c r="D31" s="14">
        <f>+Duke!$F$40</f>
        <v>395884</v>
      </c>
      <c r="E31" s="70">
        <f t="shared" si="1"/>
        <v>295994.04845814977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37" t="s">
        <v>250</v>
      </c>
      <c r="B32" s="489">
        <f>+summary!B40</f>
        <v>-2747717.6000000006</v>
      </c>
      <c r="C32" s="376">
        <f>+B32/$J$5</f>
        <v>-1210448.2819383263</v>
      </c>
      <c r="D32" s="14">
        <f>+DEFS!$I$36+DEFS!$J$36+DEFS!$K$45+DEFS!$K$46+DEFS!$K$47+DEFS!$K$48</f>
        <v>-412608</v>
      </c>
      <c r="E32" s="70">
        <f t="shared" si="1"/>
        <v>-797840.28193832631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9">
        <f>+mewborne!$J$43</f>
        <v>411925.32</v>
      </c>
      <c r="C33" s="375">
        <f t="shared" si="0"/>
        <v>183895.23214285713</v>
      </c>
      <c r="D33" s="14">
        <f>+mewborne!D49</f>
        <v>169221</v>
      </c>
      <c r="E33" s="70">
        <f t="shared" si="1"/>
        <v>14674.23214285713</v>
      </c>
      <c r="F33" s="372">
        <f>+mewborne!A43</f>
        <v>37263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9">
        <f>+PGETX!$H$39</f>
        <v>-58446.8</v>
      </c>
      <c r="C34" s="375">
        <f t="shared" si="0"/>
        <v>-26092.321428571428</v>
      </c>
      <c r="D34" s="14">
        <f>+PGETX!E48</f>
        <v>-704</v>
      </c>
      <c r="E34" s="70">
        <f t="shared" si="1"/>
        <v>-25388.321428571428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767784.44</v>
      </c>
      <c r="C35" s="375">
        <f t="shared" si="0"/>
        <v>342760.91071428568</v>
      </c>
      <c r="D35" s="14">
        <f>+PNM!D30</f>
        <v>307816</v>
      </c>
      <c r="E35" s="70">
        <f t="shared" si="1"/>
        <v>34944.910714285681</v>
      </c>
      <c r="F35" s="372">
        <f>+PNM!A23</f>
        <v>37263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9">
        <f>+EOG!J41</f>
        <v>65109.640000000007</v>
      </c>
      <c r="C36" s="375">
        <f t="shared" si="0"/>
        <v>29066.803571428572</v>
      </c>
      <c r="D36" s="14">
        <f>+EOG!D48</f>
        <v>-98497</v>
      </c>
      <c r="E36" s="70">
        <f t="shared" si="1"/>
        <v>127563.80357142858</v>
      </c>
      <c r="F36" s="371">
        <f>+EOG!A41</f>
        <v>37263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-31187.18</v>
      </c>
      <c r="C37" s="375">
        <f>+B37/J5</f>
        <v>-13738.845814977974</v>
      </c>
      <c r="D37" s="14">
        <f>+Oasis!D47</f>
        <v>-17278</v>
      </c>
      <c r="E37" s="70">
        <f>+C37-D37</f>
        <v>3539.1541850220256</v>
      </c>
      <c r="F37" s="371">
        <f>+Oasis!A40</f>
        <v>37263</v>
      </c>
      <c r="G37" s="203"/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9">
        <f>+SidR!D41</f>
        <v>37324.550000000003</v>
      </c>
      <c r="C38" s="375">
        <f>+B38/$J$5</f>
        <v>16442.533039647577</v>
      </c>
      <c r="D38" s="14">
        <f>+SidR!D48</f>
        <v>17763</v>
      </c>
      <c r="E38" s="70">
        <f t="shared" si="1"/>
        <v>-1320.4669603524235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37" t="s">
        <v>262</v>
      </c>
      <c r="B39" s="351">
        <f>+summary!$B$43</f>
        <v>-203736.06</v>
      </c>
      <c r="C39" s="375">
        <f>+summary!$C$43</f>
        <v>-89751.568281938322</v>
      </c>
      <c r="D39" s="14">
        <f>+MiVida_Rich!D48</f>
        <v>-51504</v>
      </c>
      <c r="E39" s="70">
        <f>+C39-D39</f>
        <v>-38247.568281938322</v>
      </c>
      <c r="F39" s="372">
        <f>+MiVida_Rich!A41</f>
        <v>37256</v>
      </c>
      <c r="G39" s="203"/>
      <c r="H39" s="32" t="s">
        <v>102</v>
      </c>
      <c r="I39" s="32"/>
      <c r="J39" s="32"/>
      <c r="K39" s="32"/>
    </row>
    <row r="40" spans="1:11" ht="14.1" customHeight="1" x14ac:dyDescent="0.25">
      <c r="A40" s="248" t="s">
        <v>208</v>
      </c>
      <c r="B40" s="351">
        <f>+Dominion!D41</f>
        <v>179024.12</v>
      </c>
      <c r="C40" s="375">
        <f>+B40/$J$5</f>
        <v>78865.251101321584</v>
      </c>
      <c r="D40" s="14">
        <f>+Dominion!D48</f>
        <v>78549</v>
      </c>
      <c r="E40" s="70">
        <f t="shared" si="1"/>
        <v>316.25110132158443</v>
      </c>
      <c r="F40" s="372">
        <f>+Dominion!A41</f>
        <v>37263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205</v>
      </c>
      <c r="B41" s="351">
        <f>+WTGmktg!J43</f>
        <v>-30536.28</v>
      </c>
      <c r="C41" s="375">
        <f t="shared" si="0"/>
        <v>-13632.267857142855</v>
      </c>
      <c r="D41" s="14">
        <f>+WTGmktg!D50</f>
        <v>-1200</v>
      </c>
      <c r="E41" s="70">
        <f t="shared" si="1"/>
        <v>-12432.267857142855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5">
      <c r="A42" s="248" t="s">
        <v>307</v>
      </c>
      <c r="B42" s="351">
        <f>+'WTG inc'!N43</f>
        <v>35784.559999999998</v>
      </c>
      <c r="C42" s="375">
        <f>+B42/J4</f>
        <v>15975.249999999998</v>
      </c>
      <c r="D42" s="14">
        <f>+'WTG inc'!D50</f>
        <v>13508</v>
      </c>
      <c r="E42" s="70">
        <f>+C42-D42</f>
        <v>2467.2499999999982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5">
      <c r="A43" s="248" t="s">
        <v>209</v>
      </c>
      <c r="B43" s="351">
        <f>+Devon!D41</f>
        <v>166903.71</v>
      </c>
      <c r="C43" s="375">
        <f>+B43/$J$5</f>
        <v>73525.863436123342</v>
      </c>
      <c r="D43" s="14">
        <f>+Devon!D48</f>
        <v>36443</v>
      </c>
      <c r="E43" s="70">
        <f t="shared" si="1"/>
        <v>37082.863436123342</v>
      </c>
      <c r="F43" s="372">
        <f>+Devon!A41</f>
        <v>37263</v>
      </c>
      <c r="G43" s="203"/>
      <c r="H43" s="32" t="s">
        <v>99</v>
      </c>
      <c r="I43" s="32"/>
      <c r="J43" s="32"/>
      <c r="K43" s="32"/>
    </row>
    <row r="44" spans="1:11" ht="13.5" customHeight="1" x14ac:dyDescent="0.25">
      <c r="A44" s="248" t="s">
        <v>218</v>
      </c>
      <c r="B44" s="351">
        <f>+crosstex!F41</f>
        <v>-125903.17</v>
      </c>
      <c r="C44" s="375">
        <f>+B44/$J$4</f>
        <v>-56206.772321428565</v>
      </c>
      <c r="D44" s="14">
        <f>+crosstex!D48</f>
        <v>-37577</v>
      </c>
      <c r="E44" s="70">
        <f t="shared" si="1"/>
        <v>-18629.772321428565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5">
      <c r="A45" s="248" t="s">
        <v>219</v>
      </c>
      <c r="B45" s="351">
        <f>+Amarillo!P41</f>
        <v>114633.84999999999</v>
      </c>
      <c r="C45" s="375">
        <f>+B45/$J$4</f>
        <v>51175.825892857138</v>
      </c>
      <c r="D45" s="14">
        <f>+Amarillo!D48</f>
        <v>48246</v>
      </c>
      <c r="E45" s="70">
        <f t="shared" si="1"/>
        <v>2929.8258928571377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5">
      <c r="A46" s="248" t="s">
        <v>109</v>
      </c>
      <c r="B46" s="351">
        <f>+Continental!F43</f>
        <v>34262</v>
      </c>
      <c r="C46" s="376">
        <f t="shared" si="0"/>
        <v>15295.535714285712</v>
      </c>
      <c r="D46" s="14">
        <f>+Continental!D50</f>
        <v>748</v>
      </c>
      <c r="E46" s="70">
        <f t="shared" si="1"/>
        <v>14547.535714285712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51">
        <f>+EPFS!D41</f>
        <v>103690.64</v>
      </c>
      <c r="C47" s="376">
        <f>+B47/$J$5</f>
        <v>45678.69603524229</v>
      </c>
      <c r="D47" s="14">
        <f>+EPFS!D47</f>
        <v>62814</v>
      </c>
      <c r="E47" s="70">
        <f t="shared" si="1"/>
        <v>-17135.30396475771</v>
      </c>
      <c r="F47" s="371">
        <f>+EPFS!A41</f>
        <v>37263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537" t="s">
        <v>79</v>
      </c>
      <c r="B48" s="527">
        <f>+Agave!$D$24</f>
        <v>-55460</v>
      </c>
      <c r="C48" s="377">
        <f>+B48/$J$4</f>
        <v>-24758.928571428569</v>
      </c>
      <c r="D48" s="355">
        <f>+Agave!D31</f>
        <v>-10560</v>
      </c>
      <c r="E48" s="72">
        <f t="shared" si="1"/>
        <v>-14198.928571428569</v>
      </c>
      <c r="F48" s="371">
        <f>+Agave!A24</f>
        <v>37263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95">
        <f>SUBTOTAL(9,B26:B48)</f>
        <v>2472686.0399999996</v>
      </c>
      <c r="C49" s="401">
        <f>SUBTOTAL(9,C26:C48)</f>
        <v>1102155.3116346751</v>
      </c>
      <c r="D49" s="402">
        <f>SUBTOTAL(9,D26:D48)</f>
        <v>537195</v>
      </c>
      <c r="E49" s="403">
        <f>SUBTOTAL(9,E26:E48)</f>
        <v>564960.31163467548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95">
        <f>SUBTOTAL(9,B12:B48)</f>
        <v>1960655.959999999</v>
      </c>
      <c r="C51" s="401">
        <f>SUBTOTAL(9,C12:C48)</f>
        <v>874803.27903310279</v>
      </c>
      <c r="D51" s="402">
        <f>SUBTOTAL(9,D12:D48)</f>
        <v>682675</v>
      </c>
      <c r="E51" s="403">
        <f>SUBTOTAL(9,E12:E48)</f>
        <v>192128.27903310268</v>
      </c>
      <c r="F51" s="371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5">
      <c r="D57" s="7"/>
      <c r="I57" s="391" t="s">
        <v>29</v>
      </c>
      <c r="J57" s="394">
        <f>+J3</f>
        <v>2.1800000000000002</v>
      </c>
      <c r="K57" s="410">
        <f ca="1">NOW()</f>
        <v>37265.605967361109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I58" s="392" t="s">
        <v>30</v>
      </c>
      <c r="J58" s="394">
        <f>+J4</f>
        <v>2.2400000000000002</v>
      </c>
      <c r="K58" s="32"/>
    </row>
    <row r="59" spans="1:19" ht="13.5" customHeight="1" outlineLevel="1" x14ac:dyDescent="0.25">
      <c r="D59" s="7"/>
      <c r="I59" s="391" t="s">
        <v>117</v>
      </c>
      <c r="J59" s="394">
        <f>+J5</f>
        <v>2.27</v>
      </c>
      <c r="K59" s="32"/>
    </row>
    <row r="60" spans="1:19" ht="13.5" customHeight="1" outlineLevel="2" x14ac:dyDescent="0.25"/>
    <row r="61" spans="1:19" ht="13.5" customHeight="1" outlineLevel="2" x14ac:dyDescent="0.25">
      <c r="A61" s="408" t="s">
        <v>164</v>
      </c>
      <c r="B61" s="409"/>
      <c r="E61" s="12" t="s">
        <v>198</v>
      </c>
    </row>
    <row r="62" spans="1:19" ht="13.5" customHeight="1" outlineLevel="2" x14ac:dyDescent="0.25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73" t="s">
        <v>155</v>
      </c>
      <c r="B65" s="286"/>
      <c r="C65" s="247"/>
    </row>
    <row r="66" spans="1:11" ht="13.5" customHeight="1" outlineLevel="2" x14ac:dyDescent="0.25">
      <c r="A66" s="248" t="s">
        <v>94</v>
      </c>
      <c r="B66" s="540">
        <f>+Mojave!D40</f>
        <v>191294</v>
      </c>
      <c r="C66" s="351">
        <f>+B66*$J$4</f>
        <v>428498.56000000006</v>
      </c>
      <c r="D66" s="47">
        <f>+Mojave!D47</f>
        <v>209828.04</v>
      </c>
      <c r="E66" s="47">
        <f>+C66-D66</f>
        <v>218670.52000000005</v>
      </c>
      <c r="F66" s="372">
        <f>+Mojave!A40</f>
        <v>37263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76">
        <f>+SoCal!F40</f>
        <v>115768</v>
      </c>
      <c r="C67" s="351">
        <f>+B67*$J$4</f>
        <v>259320.32000000004</v>
      </c>
      <c r="D67" s="47">
        <f>+SoCal!D47</f>
        <v>357336.52</v>
      </c>
      <c r="E67" s="47">
        <f>+C67-D67</f>
        <v>-98016.199999999983</v>
      </c>
      <c r="F67" s="372">
        <f>+SoCal!A40</f>
        <v>37263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179</v>
      </c>
      <c r="B68" s="375">
        <f>+'El Paso'!C39</f>
        <v>64166</v>
      </c>
      <c r="C68" s="351">
        <f>+B68*$J$4</f>
        <v>143731.84000000003</v>
      </c>
      <c r="D68" s="47">
        <f>+'El Paso'!C46</f>
        <v>-1583193</v>
      </c>
      <c r="E68" s="47">
        <f>+C68-D68</f>
        <v>1726924.84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77">
        <f>+'PG&amp;E'!D40</f>
        <v>45210</v>
      </c>
      <c r="C69" s="354">
        <f>+B69*$J$4</f>
        <v>101270.40000000001</v>
      </c>
      <c r="D69" s="354">
        <f>+'PG&amp;E'!D47</f>
        <v>-18595.640000000003</v>
      </c>
      <c r="E69" s="354">
        <f>+C69-D69</f>
        <v>119866.04000000001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401">
        <f>SUBTOTAL(9,B66:B69)</f>
        <v>416438</v>
      </c>
      <c r="C70" s="395">
        <f>SUBTOTAL(9,C66:C69)</f>
        <v>932821.12000000023</v>
      </c>
      <c r="D70" s="395">
        <f>SUBTOTAL(9,D66:D69)</f>
        <v>-1034624.08</v>
      </c>
      <c r="E70" s="395">
        <f>SUBTOTAL(9,E66:E69)</f>
        <v>1967445.2000000002</v>
      </c>
      <c r="F70" s="372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73" t="s">
        <v>57</v>
      </c>
      <c r="B72" s="286"/>
      <c r="C72" s="247"/>
      <c r="G72" s="203"/>
    </row>
    <row r="73" spans="1:11" x14ac:dyDescent="0.25">
      <c r="A73" s="248" t="s">
        <v>23</v>
      </c>
      <c r="B73" s="375">
        <f>+'Red C'!F45</f>
        <v>23286</v>
      </c>
      <c r="C73" s="352">
        <f>+B73*J57</f>
        <v>50763.48</v>
      </c>
      <c r="D73" s="200">
        <f>+'Red C'!D52</f>
        <v>419445.2</v>
      </c>
      <c r="E73" s="47">
        <f>+C73-D73</f>
        <v>-368681.72000000003</v>
      </c>
      <c r="F73" s="371">
        <f>+'Red C'!A45</f>
        <v>37263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319</v>
      </c>
      <c r="B74" s="375">
        <f>+Amoco!D40</f>
        <v>-33275</v>
      </c>
      <c r="C74" s="351">
        <f>+B74*$J$3</f>
        <v>-72539.5</v>
      </c>
      <c r="D74" s="47">
        <f>+Amoco!D47</f>
        <v>265900.3</v>
      </c>
      <c r="E74" s="47">
        <f>+C74-D74</f>
        <v>-338439.8</v>
      </c>
      <c r="F74" s="372">
        <f>+Amoco!A40</f>
        <v>37263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180</v>
      </c>
      <c r="B75" s="375">
        <f>+'El Paso'!E39</f>
        <v>-27726</v>
      </c>
      <c r="C75" s="351">
        <f>+B75*$J$3</f>
        <v>-60442.680000000008</v>
      </c>
      <c r="D75" s="47">
        <f>+'El Paso'!F46</f>
        <v>-657486</v>
      </c>
      <c r="E75" s="47">
        <f>+C75-D75</f>
        <v>597043.31999999995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77">
        <f>+NW!$F$41</f>
        <v>-27663</v>
      </c>
      <c r="C76" s="354">
        <f>+B76*$J$3</f>
        <v>-60305.340000000004</v>
      </c>
      <c r="D76" s="354">
        <f>+NW!E49</f>
        <v>-519105.32</v>
      </c>
      <c r="E76" s="354">
        <f>+C76-D76</f>
        <v>458799.98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401">
        <f>SUBTOTAL(9,B73:B76)</f>
        <v>-65378</v>
      </c>
      <c r="C77" s="395">
        <f>SUBTOTAL(9,C73:C76)</f>
        <v>-142524.04</v>
      </c>
      <c r="D77" s="395">
        <f>SUBTOTAL(9,D73:D76)</f>
        <v>-491245.82</v>
      </c>
      <c r="E77" s="395">
        <f>SUBTOTAL(9,E73:E76)</f>
        <v>348721.77999999991</v>
      </c>
      <c r="F77" s="371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73" t="s">
        <v>159</v>
      </c>
      <c r="B79" s="286"/>
      <c r="C79" s="247"/>
      <c r="G79" s="203"/>
    </row>
    <row r="80" spans="1:11" x14ac:dyDescent="0.25">
      <c r="A80" s="248" t="s">
        <v>88</v>
      </c>
      <c r="B80" s="375">
        <f>+NGPL!F38</f>
        <v>126831</v>
      </c>
      <c r="C80" s="489">
        <f>+B80*$J$5</f>
        <v>287906.37</v>
      </c>
      <c r="D80" s="47">
        <f>+NGPL!D45</f>
        <v>320391.03999999998</v>
      </c>
      <c r="E80" s="47">
        <f>+C80-D80</f>
        <v>-32484.669999999984</v>
      </c>
      <c r="F80" s="372">
        <f>+NGPL!A38</f>
        <v>37263</v>
      </c>
      <c r="G80" s="203"/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75">
        <f>+PEPL!D41</f>
        <v>-11587</v>
      </c>
      <c r="C81" s="490">
        <f>+B81*$J$4</f>
        <v>-25954.880000000001</v>
      </c>
      <c r="D81" s="47">
        <f>+PEPL!D47</f>
        <v>155766.84</v>
      </c>
      <c r="E81" s="47">
        <f>+C81-D81</f>
        <v>-181721.72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16328</v>
      </c>
      <c r="C82" s="490">
        <f>+B82*$J$4</f>
        <v>36574.720000000001</v>
      </c>
      <c r="D82" s="200">
        <f>+CIG!D49</f>
        <v>383278</v>
      </c>
      <c r="E82" s="70">
        <f>+C82-D82</f>
        <v>-346703.28</v>
      </c>
      <c r="F82" s="372">
        <f>+CIG!A42</f>
        <v>37263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5">
      <c r="A83" s="248" t="s">
        <v>31</v>
      </c>
      <c r="B83" s="379">
        <f>+Lonestar!F43</f>
        <v>19238.16</v>
      </c>
      <c r="C83" s="527">
        <f>+B83*J59</f>
        <v>43670.623200000002</v>
      </c>
      <c r="D83" s="354">
        <f>+Lonestar!D50</f>
        <v>24151.24</v>
      </c>
      <c r="E83" s="354">
        <f>+C83-D83</f>
        <v>19519.3832</v>
      </c>
      <c r="F83" s="371">
        <f>+Lonestar!A43</f>
        <v>37263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96">
        <f>SUBTOTAL(9,B80:B83)</f>
        <v>150810.16</v>
      </c>
      <c r="C84" s="395">
        <f>SUBTOTAL(9,C80:C83)</f>
        <v>342196.83319999999</v>
      </c>
      <c r="D84" s="395">
        <f>SUBTOTAL(9,D80:D83)</f>
        <v>883587.12</v>
      </c>
      <c r="E84" s="395">
        <f>SUBTOTAL(9,E80:E83)</f>
        <v>-541390.2868</v>
      </c>
      <c r="F84" s="371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96">
        <f>SUBTOTAL(9,B66:B83)</f>
        <v>501870.16</v>
      </c>
      <c r="C86" s="395">
        <f>SUBTOTAL(9,C66:C83)</f>
        <v>1132493.9132000003</v>
      </c>
      <c r="D86" s="395">
        <f>SUBTOTAL(9,D66:D83)</f>
        <v>-642282.7799999998</v>
      </c>
      <c r="E86" s="395">
        <f>SUBTOTAL(9,E66:E83)</f>
        <v>1774776.6931999999</v>
      </c>
      <c r="F86" s="371"/>
      <c r="H86" s="32"/>
      <c r="I86" s="32"/>
      <c r="J86" s="32"/>
      <c r="K86" s="32"/>
    </row>
    <row r="87" spans="1:12" x14ac:dyDescent="0.25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5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404">
        <f>+C86+B51</f>
        <v>3093149.8731999993</v>
      </c>
      <c r="C89" s="206"/>
      <c r="D89" s="351"/>
      <c r="E89" s="351"/>
      <c r="F89" s="358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1376673.4390331027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5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4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2" sqref="C32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>
        <v>157371</v>
      </c>
      <c r="C11" s="419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>
        <v>161938</v>
      </c>
      <c r="C12" s="419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1065581</v>
      </c>
      <c r="C37" s="419">
        <f>SUM(C6:C36)</f>
        <v>1062516</v>
      </c>
      <c r="D37" s="419">
        <f>SUM(D6:D36)</f>
        <v>-3065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37263</v>
      </c>
      <c r="B40" s="285"/>
      <c r="C40" s="444"/>
      <c r="D40" s="310">
        <f>+D39+D37</f>
        <v>-33275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5">
      <c r="A46" s="49">
        <f>+A40</f>
        <v>37263</v>
      </c>
      <c r="B46" s="32"/>
      <c r="C46" s="32"/>
      <c r="D46" s="382">
        <f>+D37*'by type_area'!J3</f>
        <v>-6681.7000000000007</v>
      </c>
      <c r="H46">
        <v>500</v>
      </c>
    </row>
    <row r="47" spans="1:16" x14ac:dyDescent="0.25">
      <c r="A47" s="32"/>
      <c r="B47" s="32"/>
      <c r="C47" s="32"/>
      <c r="D47" s="200">
        <f>+D46+D45</f>
        <v>265900.3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12" sqref="C12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-477746</v>
      </c>
      <c r="C36" s="24">
        <f>SUM(C5:C35)</f>
        <v>-476580</v>
      </c>
      <c r="D36" s="24">
        <f t="shared" si="0"/>
        <v>1166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2.27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2646.82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37263</v>
      </c>
      <c r="B40"/>
      <c r="C40" s="48"/>
      <c r="D40" s="138">
        <f>+D39+D38</f>
        <v>-31187.18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04">
        <v>-18444</v>
      </c>
    </row>
    <row r="46" spans="1:65" x14ac:dyDescent="0.25">
      <c r="A46" s="49">
        <f>+A40</f>
        <v>37263</v>
      </c>
      <c r="B46" s="32"/>
      <c r="C46" s="32"/>
      <c r="D46" s="355">
        <f>+D36</f>
        <v>1166</v>
      </c>
    </row>
    <row r="47" spans="1:65" x14ac:dyDescent="0.25">
      <c r="A47" s="32"/>
      <c r="B47" s="32"/>
      <c r="C47" s="32"/>
      <c r="D47" s="14">
        <f>+D46+D45</f>
        <v>-17278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222516</v>
      </c>
      <c r="C5" s="90">
        <v>221044</v>
      </c>
      <c r="D5" s="90">
        <f>+C5-B5</f>
        <v>-1472</v>
      </c>
      <c r="E5" s="275"/>
      <c r="F5" s="273"/>
    </row>
    <row r="6" spans="1:13" x14ac:dyDescent="0.25">
      <c r="A6" s="87">
        <v>78311</v>
      </c>
      <c r="B6" s="90">
        <v>71787</v>
      </c>
      <c r="C6" s="90">
        <v>54300</v>
      </c>
      <c r="D6" s="90">
        <f t="shared" ref="D6:D17" si="0">+C6-B6</f>
        <v>-17487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208624</v>
      </c>
      <c r="C7" s="90">
        <v>242928</v>
      </c>
      <c r="D7" s="90">
        <f t="shared" si="0"/>
        <v>34304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264477</v>
      </c>
      <c r="C8" s="90">
        <v>201230</v>
      </c>
      <c r="D8" s="90">
        <f t="shared" si="0"/>
        <v>-63247</v>
      </c>
      <c r="E8" s="464"/>
      <c r="F8" s="273"/>
    </row>
    <row r="9" spans="1:13" x14ac:dyDescent="0.25">
      <c r="A9" s="87">
        <v>500293</v>
      </c>
      <c r="B9" s="90">
        <v>133307</v>
      </c>
      <c r="C9" s="90">
        <v>134954</v>
      </c>
      <c r="D9" s="90">
        <f t="shared" si="0"/>
        <v>1647</v>
      </c>
      <c r="E9" s="275"/>
      <c r="F9" s="273"/>
    </row>
    <row r="10" spans="1:13" x14ac:dyDescent="0.25">
      <c r="A10" s="87">
        <v>500302</v>
      </c>
      <c r="B10" s="90"/>
      <c r="C10" s="90">
        <v>1932</v>
      </c>
      <c r="D10" s="90">
        <f t="shared" si="0"/>
        <v>1932</v>
      </c>
      <c r="E10" s="275"/>
      <c r="F10" s="273"/>
    </row>
    <row r="11" spans="1:13" x14ac:dyDescent="0.25">
      <c r="A11" s="87">
        <v>500303</v>
      </c>
      <c r="B11" s="90"/>
      <c r="C11" s="90">
        <v>63063</v>
      </c>
      <c r="D11" s="90">
        <f t="shared" si="0"/>
        <v>63063</v>
      </c>
      <c r="E11" s="275"/>
      <c r="F11" s="273"/>
    </row>
    <row r="12" spans="1:13" x14ac:dyDescent="0.25">
      <c r="A12" s="91">
        <v>500305</v>
      </c>
      <c r="B12" s="90">
        <v>356146</v>
      </c>
      <c r="C12" s="90">
        <v>336140</v>
      </c>
      <c r="D12" s="90">
        <f t="shared" si="0"/>
        <v>-20006</v>
      </c>
      <c r="E12" s="276"/>
      <c r="F12" s="273"/>
    </row>
    <row r="13" spans="1:13" x14ac:dyDescent="0.25">
      <c r="A13" s="87">
        <v>500307</v>
      </c>
      <c r="B13" s="90">
        <v>25910</v>
      </c>
      <c r="C13" s="90">
        <v>14896</v>
      </c>
      <c r="D13" s="90">
        <f t="shared" si="0"/>
        <v>-11014</v>
      </c>
      <c r="E13" s="275"/>
      <c r="F13" s="273"/>
    </row>
    <row r="14" spans="1:13" x14ac:dyDescent="0.25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51920</v>
      </c>
      <c r="C16" s="90"/>
      <c r="D16" s="90">
        <f t="shared" si="0"/>
        <v>-51920</v>
      </c>
      <c r="E16" s="275"/>
      <c r="F16" s="273"/>
    </row>
    <row r="17" spans="1:6" x14ac:dyDescent="0.25">
      <c r="A17" s="87">
        <v>500657</v>
      </c>
      <c r="B17" s="88">
        <v>40305</v>
      </c>
      <c r="C17" s="88">
        <v>48988</v>
      </c>
      <c r="D17" s="94">
        <f t="shared" si="0"/>
        <v>8683</v>
      </c>
      <c r="E17" s="275"/>
      <c r="F17" s="273"/>
    </row>
    <row r="18" spans="1:6" x14ac:dyDescent="0.25">
      <c r="A18" s="87"/>
      <c r="B18" s="88"/>
      <c r="C18" s="88"/>
      <c r="D18" s="88">
        <f>SUM(D5:D17)</f>
        <v>-54810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+summary!H5</f>
        <v>2.27</v>
      </c>
      <c r="E19" s="277"/>
      <c r="F19" s="273"/>
    </row>
    <row r="20" spans="1:6" x14ac:dyDescent="0.25">
      <c r="A20" s="87"/>
      <c r="B20" s="88"/>
      <c r="C20" s="88"/>
      <c r="D20" s="96">
        <f>+D19*D18</f>
        <v>-124418.7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37263</v>
      </c>
      <c r="B24" s="88"/>
      <c r="C24" s="88"/>
      <c r="D24" s="321">
        <f>+D22+D20</f>
        <v>-55460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04">
        <v>44250</v>
      </c>
    </row>
    <row r="30" spans="1:6" x14ac:dyDescent="0.25">
      <c r="A30" s="49">
        <f>+A24</f>
        <v>37263</v>
      </c>
      <c r="B30" s="32"/>
      <c r="C30" s="32"/>
      <c r="D30" s="355">
        <f>+D18</f>
        <v>-54810</v>
      </c>
    </row>
    <row r="31" spans="1:6" x14ac:dyDescent="0.25">
      <c r="A31" s="32"/>
      <c r="B31" s="32"/>
      <c r="C31" s="32"/>
      <c r="D31" s="14">
        <f>+D30+D29</f>
        <v>-10560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239674</v>
      </c>
      <c r="C35" s="11">
        <f>SUM(C4:C34)</f>
        <v>244294</v>
      </c>
      <c r="D35" s="11">
        <f>SUM(D4:D34)</f>
        <v>228113</v>
      </c>
      <c r="E35" s="11">
        <f>SUM(E4:E34)</f>
        <v>218256</v>
      </c>
      <c r="F35" s="11">
        <f>+E35-D35+C35-B35</f>
        <v>-5237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2.2400000000000002</v>
      </c>
    </row>
    <row r="38" spans="1:7" x14ac:dyDescent="0.2">
      <c r="C38" s="48"/>
      <c r="D38" s="47"/>
      <c r="E38" s="48"/>
      <c r="F38" s="46">
        <f>+F37*F35</f>
        <v>-11730.880000000001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37263</v>
      </c>
      <c r="C41" s="106"/>
      <c r="D41" s="106"/>
      <c r="E41" s="106"/>
      <c r="F41" s="106">
        <f>+F38+F40</f>
        <v>448700.31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37263</v>
      </c>
      <c r="D47" s="355">
        <f>+F35</f>
        <v>-5237</v>
      </c>
      <c r="E47" s="11"/>
      <c r="F47" s="11"/>
      <c r="G47" s="25"/>
    </row>
    <row r="48" spans="1:7" x14ac:dyDescent="0.2">
      <c r="D48" s="14">
        <f>+D47+D46</f>
        <v>36074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36897</v>
      </c>
      <c r="C48" s="32"/>
      <c r="D48" s="32"/>
      <c r="E48" s="382">
        <f>+F36*'by type_area'!J3</f>
        <v>-11497.320000000002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-519105.32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742504</v>
      </c>
      <c r="C39" s="11">
        <f>SUM(C8:C38)</f>
        <v>751781</v>
      </c>
      <c r="D39" s="11">
        <f>SUM(D8:D38)</f>
        <v>9277</v>
      </c>
      <c r="E39" s="10"/>
      <c r="F39" s="11"/>
      <c r="G39" s="11"/>
      <c r="H39" s="11"/>
    </row>
    <row r="40" spans="1:8" x14ac:dyDescent="0.25">
      <c r="A40" s="26"/>
      <c r="D40" s="75">
        <f>+summary!H4</f>
        <v>2.2400000000000002</v>
      </c>
      <c r="E40" s="26"/>
      <c r="H40" s="75"/>
    </row>
    <row r="41" spans="1:8" x14ac:dyDescent="0.25">
      <c r="D41" s="195">
        <f>+D40*D39</f>
        <v>20780.480000000003</v>
      </c>
      <c r="F41" s="247"/>
      <c r="H41" s="195"/>
    </row>
    <row r="42" spans="1:8" x14ac:dyDescent="0.25">
      <c r="A42" s="57">
        <v>37256</v>
      </c>
      <c r="D42" s="524">
        <v>12821</v>
      </c>
      <c r="E42" s="57"/>
      <c r="H42" s="195"/>
    </row>
    <row r="43" spans="1:8" x14ac:dyDescent="0.25">
      <c r="A43" s="57">
        <v>37263</v>
      </c>
      <c r="D43" s="196">
        <f>+D42+D41</f>
        <v>33601.480000000003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04">
        <v>-49782</v>
      </c>
    </row>
    <row r="49" spans="1:4" x14ac:dyDescent="0.25">
      <c r="A49" s="49">
        <f>+A43</f>
        <v>37263</v>
      </c>
      <c r="B49" s="32"/>
      <c r="C49" s="32"/>
      <c r="D49" s="355">
        <f>+D39</f>
        <v>9277</v>
      </c>
    </row>
    <row r="50" spans="1:4" x14ac:dyDescent="0.25">
      <c r="A50" s="32"/>
      <c r="B50" s="32"/>
      <c r="C50" s="32"/>
      <c r="D50" s="14">
        <f>+D49+D48</f>
        <v>-40505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253</v>
      </c>
      <c r="J6" s="15"/>
    </row>
    <row r="7" spans="1:14" x14ac:dyDescent="0.25">
      <c r="A7" s="57">
        <v>37262</v>
      </c>
      <c r="I7" s="3" t="s">
        <v>260</v>
      </c>
      <c r="J7" s="15"/>
    </row>
    <row r="8" spans="1:14" x14ac:dyDescent="0.25">
      <c r="A8" s="248">
        <v>50895</v>
      </c>
      <c r="B8" s="343">
        <f>1380-715-37</f>
        <v>628</v>
      </c>
      <c r="J8" s="15"/>
    </row>
    <row r="9" spans="1:14" x14ac:dyDescent="0.25">
      <c r="A9" s="248">
        <v>60874</v>
      </c>
      <c r="B9" s="343">
        <f>687+134</f>
        <v>821</v>
      </c>
      <c r="J9" s="15"/>
    </row>
    <row r="10" spans="1:14" x14ac:dyDescent="0.25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2.27</v>
      </c>
      <c r="C19" s="199">
        <f>+B19*B18</f>
        <v>33117.03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1570563.17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2.2400000000000002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5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5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5">
      <c r="G41" s="32"/>
      <c r="H41" s="15"/>
      <c r="I41" s="32"/>
    </row>
    <row r="42" spans="1:9" x14ac:dyDescent="0.25">
      <c r="A42" s="245">
        <v>37262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826</v>
      </c>
      <c r="G44" s="32"/>
      <c r="H44" s="388"/>
      <c r="I44" s="14"/>
    </row>
    <row r="45" spans="1:9" x14ac:dyDescent="0.25">
      <c r="A45" s="32">
        <v>500392</v>
      </c>
      <c r="B45" s="250">
        <v>373</v>
      </c>
      <c r="G45" s="32"/>
      <c r="H45" s="388"/>
      <c r="I45" s="14"/>
    </row>
    <row r="46" spans="1:9" x14ac:dyDescent="0.25">
      <c r="B46" s="14">
        <f>SUM(B43:B45)</f>
        <v>1199</v>
      </c>
      <c r="G46" s="32"/>
      <c r="H46" s="388"/>
      <c r="I46" s="14"/>
    </row>
    <row r="47" spans="1:9" x14ac:dyDescent="0.25">
      <c r="B47" s="199">
        <f>+summary!H5</f>
        <v>2.27</v>
      </c>
      <c r="C47" s="199">
        <f>+B47*B46</f>
        <v>2721.73</v>
      </c>
      <c r="H47" s="388"/>
      <c r="I47" s="14"/>
    </row>
    <row r="48" spans="1:9" x14ac:dyDescent="0.25">
      <c r="C48" s="324">
        <f>+C47+C40</f>
        <v>844696.24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2787630.5599999996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5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5">
      <c r="C37" s="316">
        <f>+summary!H5</f>
        <v>2.27</v>
      </c>
      <c r="E37" s="104">
        <f>+C37</f>
        <v>2.27</v>
      </c>
      <c r="F37" s="138">
        <f>+F36*E37</f>
        <v>-5302.72</v>
      </c>
    </row>
    <row r="38" spans="1:13" x14ac:dyDescent="0.25">
      <c r="C38" s="138">
        <f>+C37*C36</f>
        <v>0</v>
      </c>
      <c r="E38" s="136">
        <f>+E37*E36</f>
        <v>-5302.72</v>
      </c>
      <c r="F38" s="138">
        <f>+E38+C38</f>
        <v>-5302.72</v>
      </c>
    </row>
    <row r="39" spans="1:13" x14ac:dyDescent="0.25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5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-577150.71999999997</v>
      </c>
      <c r="F40" s="317">
        <f>+E40+C40</f>
        <v>-1610575.72</v>
      </c>
      <c r="H40" s="131"/>
    </row>
    <row r="41" spans="1:13" x14ac:dyDescent="0.25">
      <c r="C41" s="332"/>
      <c r="D41" s="246"/>
      <c r="E41" s="246"/>
      <c r="H41" s="31">
        <f>+C39+E39+F45+F46+F47+F48</f>
        <v>-2742414.8800000004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5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5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5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5">
      <c r="C49" s="246"/>
      <c r="D49" s="246"/>
      <c r="F49" s="333">
        <f>SUM(F40:F48)</f>
        <v>-2747717.6000000006</v>
      </c>
      <c r="G49" s="246"/>
      <c r="K49" s="14">
        <f>SUM(K36:K48)</f>
        <v>-412608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2787630.5599999996</v>
      </c>
      <c r="M51" s="14">
        <f>+Duke!I57</f>
        <v>757071</v>
      </c>
    </row>
    <row r="53" spans="3:13" x14ac:dyDescent="0.25">
      <c r="F53" s="104">
        <f>+F51+F49</f>
        <v>39912.959999999031</v>
      </c>
      <c r="M53" s="16">
        <f>+M51+K49</f>
        <v>344463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-1033425</v>
      </c>
    </row>
    <row r="74" spans="1:3" x14ac:dyDescent="0.25">
      <c r="A74">
        <v>22051</v>
      </c>
      <c r="B74" s="31">
        <f>+J36</f>
        <v>-130932</v>
      </c>
      <c r="C74" s="247">
        <f>+E40</f>
        <v>-577150.71999999997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187997</v>
      </c>
      <c r="C77" s="259">
        <f>+Duke!C48</f>
        <v>844696.24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395884</v>
      </c>
      <c r="C79" s="259">
        <f>+Duke!C20</f>
        <v>1570563.17</v>
      </c>
    </row>
    <row r="81" spans="2:3" x14ac:dyDescent="0.25">
      <c r="B81" s="31">
        <f>SUM(B68:B80)</f>
        <v>344463</v>
      </c>
      <c r="C81" s="259">
        <f>SUM(C68:C80)</f>
        <v>39912.959999999497</v>
      </c>
    </row>
    <row r="82" spans="2:3" x14ac:dyDescent="0.25">
      <c r="C82">
        <f>+C81/B81</f>
        <v>0.11587009344980302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I15" sqref="I15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6134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493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36787</v>
      </c>
      <c r="C39" s="11">
        <f t="shared" si="1"/>
        <v>40187</v>
      </c>
      <c r="D39" s="11">
        <f t="shared" si="1"/>
        <v>3376</v>
      </c>
      <c r="E39" s="11">
        <f t="shared" si="1"/>
        <v>7875</v>
      </c>
      <c r="F39" s="129">
        <f t="shared" si="1"/>
        <v>6701</v>
      </c>
      <c r="G39" s="11">
        <f t="shared" si="1"/>
        <v>6104</v>
      </c>
      <c r="H39" s="11">
        <f t="shared" si="1"/>
        <v>10470</v>
      </c>
      <c r="I39" s="11">
        <f t="shared" si="1"/>
        <v>7861</v>
      </c>
      <c r="J39" s="25">
        <f t="shared" si="1"/>
        <v>4693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2.2400000000000002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10512.320000000002</v>
      </c>
      <c r="L41"/>
      <c r="R41" s="138"/>
      <c r="X41" s="138"/>
    </row>
    <row r="42" spans="1:24" x14ac:dyDescent="0.25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37263</v>
      </c>
      <c r="C43" s="48"/>
      <c r="J43" s="138">
        <f>+J42+J41</f>
        <v>411925.32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04">
        <v>164528</v>
      </c>
      <c r="L47"/>
    </row>
    <row r="48" spans="1:24" x14ac:dyDescent="0.25">
      <c r="A48" s="49">
        <f>+A43</f>
        <v>37263</v>
      </c>
      <c r="B48" s="32"/>
      <c r="C48" s="32"/>
      <c r="D48" s="355">
        <f>+J39</f>
        <v>4693</v>
      </c>
      <c r="L48"/>
    </row>
    <row r="49" spans="1:12" x14ac:dyDescent="0.25">
      <c r="A49" s="32"/>
      <c r="B49" s="32"/>
      <c r="C49" s="32"/>
      <c r="D49" s="14">
        <f>+D48+D47</f>
        <v>169221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2.2400000000000002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-6715.52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37261</v>
      </c>
      <c r="B43" s="285"/>
      <c r="C43" s="444"/>
      <c r="D43" s="444"/>
      <c r="E43" s="444"/>
      <c r="F43" s="425">
        <f>+F42+F41</f>
        <v>177180.06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04">
        <v>-353272</v>
      </c>
      <c r="E47" s="11"/>
    </row>
    <row r="48" spans="1:26" x14ac:dyDescent="0.25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5">
      <c r="A49" s="32"/>
      <c r="B49" s="32"/>
      <c r="C49" s="32"/>
      <c r="D49" s="14">
        <f>+D48+D47</f>
        <v>-356270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34" sqref="C34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5">
      <c r="G3" s="289" t="s">
        <v>29</v>
      </c>
      <c r="H3" s="349">
        <f>+'[3]1001'!$K$39</f>
        <v>2.1800000000000002</v>
      </c>
      <c r="I3" s="381">
        <f ca="1">NOW()</f>
        <v>37265.605967361109</v>
      </c>
    </row>
    <row r="4" spans="1:32" ht="15" customHeight="1" x14ac:dyDescent="0.25">
      <c r="A4" s="34" t="s">
        <v>145</v>
      </c>
      <c r="C4" s="34" t="s">
        <v>5</v>
      </c>
      <c r="G4" s="290" t="s">
        <v>30</v>
      </c>
      <c r="H4" s="291">
        <f>+'[3]1001'!$M$39</f>
        <v>2.2400000000000002</v>
      </c>
    </row>
    <row r="5" spans="1:32" ht="15" customHeight="1" x14ac:dyDescent="0.25">
      <c r="B5" s="348"/>
      <c r="G5" s="289" t="s">
        <v>117</v>
      </c>
      <c r="H5" s="349">
        <f>+'[3]1001'!$E$39</f>
        <v>2.27</v>
      </c>
    </row>
    <row r="6" spans="1:32" ht="12" customHeight="1" x14ac:dyDescent="0.25">
      <c r="C6" s="448"/>
    </row>
    <row r="7" spans="1:32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5">
      <c r="A8" s="537" t="s">
        <v>251</v>
      </c>
      <c r="B8" s="489">
        <f>+Duke!$C$20</f>
        <v>1570563.17</v>
      </c>
      <c r="C8" s="206">
        <f>+B8/$H$5</f>
        <v>691878.04845814977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537" t="s">
        <v>258</v>
      </c>
      <c r="B9" s="489">
        <f>+Duke!$C$54+Duke!$C$53+Duke!$C$48+Duke!$C$33</f>
        <v>1217067.3899999999</v>
      </c>
      <c r="C9" s="206">
        <f>+B9/$H$5</f>
        <v>536153.0352422907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48" t="s">
        <v>82</v>
      </c>
      <c r="B10" s="489">
        <f>+PNM!$D$23</f>
        <v>767784.44</v>
      </c>
      <c r="C10" s="275">
        <f>+B10/$H$4</f>
        <v>342760.91071428568</v>
      </c>
      <c r="D10" s="372">
        <f>+PNM!A23</f>
        <v>37263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48" t="s">
        <v>80</v>
      </c>
      <c r="B11" s="351">
        <f>+Conoco!$F$41</f>
        <v>448700.31</v>
      </c>
      <c r="C11" s="275">
        <f>+B11/$H$4</f>
        <v>200312.63839285713</v>
      </c>
      <c r="D11" s="371">
        <f>+Conoco!A41</f>
        <v>37263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48" t="s">
        <v>94</v>
      </c>
      <c r="B12" s="489">
        <f>+C12*$H$4</f>
        <v>428498.56000000006</v>
      </c>
      <c r="C12" s="275">
        <f>+Mojave!D40</f>
        <v>191294</v>
      </c>
      <c r="D12" s="372">
        <f>+Mojave!A40</f>
        <v>37263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48" t="s">
        <v>2</v>
      </c>
      <c r="B13" s="351">
        <f>+mewborne!$J$43</f>
        <v>411925.32</v>
      </c>
      <c r="C13" s="275">
        <f>+B13/$H$4</f>
        <v>183895.23214285713</v>
      </c>
      <c r="D13" s="372">
        <f>+mewborne!A43</f>
        <v>37263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48" t="s">
        <v>107</v>
      </c>
      <c r="B14" s="351">
        <f>+KN_Westar!F41</f>
        <v>385015.89</v>
      </c>
      <c r="C14" s="275">
        <f>+B14/$H$4</f>
        <v>171882.09375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248" t="s">
        <v>88</v>
      </c>
      <c r="B15" s="351">
        <f>+C15*$H$5</f>
        <v>287906.37</v>
      </c>
      <c r="C15" s="275">
        <f>+NGPL!F38</f>
        <v>126831</v>
      </c>
      <c r="D15" s="372">
        <f>+NGPL!A38</f>
        <v>37263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39912.959999999031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37" t="s">
        <v>32</v>
      </c>
      <c r="B16" s="489">
        <f>+C16*$H$4</f>
        <v>259320.32000000004</v>
      </c>
      <c r="C16" s="206">
        <f>+SoCal!F40</f>
        <v>115768</v>
      </c>
      <c r="D16" s="371">
        <f>+SoCal!A40</f>
        <v>37263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37" t="s">
        <v>127</v>
      </c>
      <c r="B17" s="489">
        <f>+Calpine!D41</f>
        <v>238134.28</v>
      </c>
      <c r="C17" s="206">
        <f>+B17/$H$4</f>
        <v>106309.94642857142</v>
      </c>
      <c r="D17" s="371">
        <f>+Calpine!A41</f>
        <v>37263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48" t="s">
        <v>208</v>
      </c>
      <c r="B18" s="489">
        <f>+Dominion!D41</f>
        <v>179024.12</v>
      </c>
      <c r="C18" s="275">
        <f>+B18/$H$5</f>
        <v>78865.251101321584</v>
      </c>
      <c r="D18" s="372">
        <f>+Dominion!A41</f>
        <v>37263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48" t="s">
        <v>3</v>
      </c>
      <c r="B19" s="489">
        <f>+'Amoco Abo'!$F$43</f>
        <v>177180.06</v>
      </c>
      <c r="C19" s="275">
        <f>+B19/$H$4</f>
        <v>79098.241071428565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48" t="s">
        <v>211</v>
      </c>
      <c r="B20" s="489">
        <f>+Devon!D41</f>
        <v>166903.71</v>
      </c>
      <c r="C20" s="275">
        <f>+B20/$H$5</f>
        <v>73525.863436123342</v>
      </c>
      <c r="D20" s="372">
        <f>+Devon!A41</f>
        <v>37263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48" t="s">
        <v>219</v>
      </c>
      <c r="B21" s="489">
        <f>+Amarillo!P41</f>
        <v>114633.84999999999</v>
      </c>
      <c r="C21" s="275">
        <f>+B21/$H$4</f>
        <v>51175.825892857138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48" t="s">
        <v>129</v>
      </c>
      <c r="B22" s="489">
        <f>+EPFS!D41</f>
        <v>103690.64</v>
      </c>
      <c r="C22" s="206">
        <f>+B22/$H$5</f>
        <v>45678.69603524229</v>
      </c>
      <c r="D22" s="371">
        <f>+EPFS!A41</f>
        <v>37263</v>
      </c>
      <c r="E22" s="32" t="s">
        <v>85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48" t="s">
        <v>114</v>
      </c>
      <c r="B23" s="489">
        <f>+C23*$H$4</f>
        <v>101270.40000000001</v>
      </c>
      <c r="C23" s="206">
        <f>+'PG&amp;E'!D40</f>
        <v>45210</v>
      </c>
      <c r="D23" s="372">
        <f>+'PG&amp;E'!A40</f>
        <v>37262</v>
      </c>
      <c r="E23" s="32" t="s">
        <v>84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537" t="s">
        <v>33</v>
      </c>
      <c r="B24" s="489">
        <f>+'El Paso'!C39*summary!H4+'El Paso'!E39*summary!H3</f>
        <v>83289.160000000018</v>
      </c>
      <c r="C24" s="275">
        <f>+'El Paso'!H39</f>
        <v>36440</v>
      </c>
      <c r="D24" s="371">
        <f>+'El Paso'!A39</f>
        <v>37262</v>
      </c>
      <c r="E24" s="204" t="s">
        <v>84</v>
      </c>
      <c r="F24" s="204" t="s">
        <v>100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537" t="s">
        <v>28</v>
      </c>
      <c r="B25" s="351">
        <f>+C25*$H$3</f>
        <v>67575.64</v>
      </c>
      <c r="C25" s="275">
        <f>+williams!J40</f>
        <v>30998</v>
      </c>
      <c r="D25" s="371">
        <f>+williams!A40</f>
        <v>37263</v>
      </c>
      <c r="E25" s="204" t="s">
        <v>85</v>
      </c>
      <c r="F25" s="204" t="s">
        <v>321</v>
      </c>
      <c r="G25" s="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32" t="s">
        <v>103</v>
      </c>
      <c r="B26" s="351">
        <f>+EOG!$J$41</f>
        <v>65109.640000000007</v>
      </c>
      <c r="C26" s="275">
        <f>+B26/$H$4</f>
        <v>29066.803571428572</v>
      </c>
      <c r="D26" s="371">
        <f>+EOG!A41</f>
        <v>37263</v>
      </c>
      <c r="E26" s="32" t="s">
        <v>85</v>
      </c>
      <c r="F26" s="32" t="s">
        <v>102</v>
      </c>
      <c r="G26" s="32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248" t="s">
        <v>23</v>
      </c>
      <c r="B27" s="351">
        <f>+C27*$H$3</f>
        <v>50763.48</v>
      </c>
      <c r="C27" s="353">
        <f>+'Red C'!$F$45</f>
        <v>23286</v>
      </c>
      <c r="D27" s="371">
        <f>+'Red C'!A45</f>
        <v>37263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248" t="s">
        <v>31</v>
      </c>
      <c r="B28" s="351">
        <f>+C28*H3</f>
        <v>41939.188800000004</v>
      </c>
      <c r="C28" s="275">
        <f>+Lonestar!F43</f>
        <v>19238.16</v>
      </c>
      <c r="D28" s="371">
        <f>+Lonestar!A43</f>
        <v>37263</v>
      </c>
      <c r="E28" s="32" t="s">
        <v>84</v>
      </c>
      <c r="F28" s="32" t="s">
        <v>102</v>
      </c>
      <c r="G28" s="32" t="s">
        <v>314</v>
      </c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248" t="s">
        <v>131</v>
      </c>
      <c r="B29" s="351">
        <f>+SidR!D41</f>
        <v>37324.550000000003</v>
      </c>
      <c r="C29" s="275">
        <f>+B29/$H$5</f>
        <v>16442.533039647577</v>
      </c>
      <c r="D29" s="372">
        <f>+SidR!A41</f>
        <v>37262</v>
      </c>
      <c r="E29" s="32" t="s">
        <v>85</v>
      </c>
      <c r="F29" s="32" t="s">
        <v>102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248" t="s">
        <v>110</v>
      </c>
      <c r="B30" s="351">
        <f>+C30*$H$4</f>
        <v>36574.720000000001</v>
      </c>
      <c r="C30" s="275">
        <f>+CIG!D42</f>
        <v>16328</v>
      </c>
      <c r="D30" s="372">
        <f>+CIG!A42</f>
        <v>37263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5">
      <c r="A31" s="248" t="s">
        <v>307</v>
      </c>
      <c r="B31" s="489">
        <f>+'WTG inc'!N43</f>
        <v>35784.559999999998</v>
      </c>
      <c r="C31" s="275">
        <f>+B31/$H$4</f>
        <v>15975.249999999998</v>
      </c>
      <c r="D31" s="372">
        <f>+'WTG inc'!A43</f>
        <v>37262</v>
      </c>
      <c r="E31" s="32" t="s">
        <v>85</v>
      </c>
      <c r="F31" s="32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537" t="s">
        <v>139</v>
      </c>
      <c r="B32" s="489">
        <f>+'Citizens-Griffith'!D41</f>
        <v>35251.56</v>
      </c>
      <c r="C32" s="275">
        <f>+B32/$H$4</f>
        <v>15737.303571428569</v>
      </c>
      <c r="D32" s="371">
        <f>+'Citizens-Griffith'!A41</f>
        <v>37263</v>
      </c>
      <c r="E32" s="204" t="s">
        <v>85</v>
      </c>
      <c r="F32" s="204" t="s">
        <v>99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" customHeight="1" x14ac:dyDescent="0.25">
      <c r="A33" s="537" t="s">
        <v>109</v>
      </c>
      <c r="B33" s="489">
        <f>+Continental!F43</f>
        <v>34262</v>
      </c>
      <c r="C33" s="206">
        <f>+B33/$H$4</f>
        <v>15295.535714285712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5">
      <c r="A34" s="537" t="s">
        <v>71</v>
      </c>
      <c r="B34" s="352">
        <f>+transcol!$D$43</f>
        <v>33601.480000000003</v>
      </c>
      <c r="C34" s="353">
        <f>+B34/$H$4</f>
        <v>15000.660714285714</v>
      </c>
      <c r="D34" s="371">
        <f>+transcol!A43</f>
        <v>37263</v>
      </c>
      <c r="E34" s="204" t="s">
        <v>85</v>
      </c>
      <c r="F34" s="204" t="s">
        <v>115</v>
      </c>
      <c r="G34" s="32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5">
      <c r="A35" s="537" t="s">
        <v>95</v>
      </c>
      <c r="B35" s="351">
        <f>+burlington!D42</f>
        <v>32759.839999999997</v>
      </c>
      <c r="C35" s="275">
        <f>+B35/$H$3</f>
        <v>15027.449541284401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5">
      <c r="A36" s="537" t="s">
        <v>87</v>
      </c>
      <c r="B36" s="354">
        <f>+NNG!$D$24</f>
        <v>10703.479999999996</v>
      </c>
      <c r="C36" s="71">
        <f>+B36/$H$4</f>
        <v>4778.3392857142835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5">
      <c r="A37" s="32" t="s">
        <v>96</v>
      </c>
      <c r="B37" s="47">
        <f>SUM(B8:B36)</f>
        <v>7422558.1287999982</v>
      </c>
      <c r="C37" s="69">
        <f>SUM(C8:C36)</f>
        <v>3294252.8181040599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537" t="s">
        <v>250</v>
      </c>
      <c r="B40" s="490">
        <f>+DEFS!$C$40+DEFS!$E$40+DEFS!$F$44+DEFS!$F$45+DEFS!$F$46+DEFS!$F$47+DEFS!$F$48</f>
        <v>-2747717.6000000006</v>
      </c>
      <c r="C40" s="353">
        <f>+B40/$H$5</f>
        <v>-1210448.2819383263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537" t="s">
        <v>135</v>
      </c>
      <c r="B41" s="489">
        <f>+Citizens!D18</f>
        <v>-546563.24</v>
      </c>
      <c r="C41" s="206">
        <f>+B41/$H$4</f>
        <v>-244001.44642857139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48" t="s">
        <v>133</v>
      </c>
      <c r="B42" s="489">
        <f>+'NS Steel'!D41</f>
        <v>-349284.36</v>
      </c>
      <c r="C42" s="206">
        <f>+B42/$H$4</f>
        <v>-155930.51785714284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537" t="s">
        <v>262</v>
      </c>
      <c r="B43" s="489">
        <f>+MiVida_Rich!D41</f>
        <v>-203736.06</v>
      </c>
      <c r="C43" s="206">
        <f>+B43/$H$5</f>
        <v>-89751.568281938322</v>
      </c>
      <c r="D43" s="371">
        <f>+MiVida_Rich!A41</f>
        <v>37256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248" t="s">
        <v>217</v>
      </c>
      <c r="B44" s="489">
        <f>+crosstex!F41</f>
        <v>-125903.17</v>
      </c>
      <c r="C44" s="206">
        <f>+B44/$H$4</f>
        <v>-56206.772321428565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5">
      <c r="A45" s="248" t="s">
        <v>319</v>
      </c>
      <c r="B45" s="489">
        <f>+C45*$H$3</f>
        <v>-72539.5</v>
      </c>
      <c r="C45" s="275">
        <f>+Amoco!D40</f>
        <v>-33275</v>
      </c>
      <c r="D45" s="372">
        <f>+Amoco!A40</f>
        <v>37263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5">
      <c r="A46" s="248" t="s">
        <v>1</v>
      </c>
      <c r="B46" s="489">
        <f>+C46*$H$3</f>
        <v>-60305.340000000004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5">
      <c r="A47" s="248" t="s">
        <v>147</v>
      </c>
      <c r="B47" s="351">
        <f>+PGETX!$H$39</f>
        <v>-58446.8</v>
      </c>
      <c r="C47" s="275">
        <f>+B47/$H$4</f>
        <v>-26092.321428571428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5">
      <c r="A48" s="538" t="s">
        <v>79</v>
      </c>
      <c r="B48" s="541">
        <f>+Agave!$D$24</f>
        <v>-55460</v>
      </c>
      <c r="C48" s="472">
        <f>+B48/$H$4</f>
        <v>-24758.928571428569</v>
      </c>
      <c r="D48" s="471">
        <f>+Agave!A24</f>
        <v>37263</v>
      </c>
      <c r="E48" s="451" t="s">
        <v>85</v>
      </c>
      <c r="F48" s="451" t="s">
        <v>102</v>
      </c>
      <c r="G48" s="451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5">
      <c r="A49" s="248" t="s">
        <v>6</v>
      </c>
      <c r="B49" s="489">
        <f>+Oasis!$D$40</f>
        <v>-31187.18</v>
      </c>
      <c r="C49" s="206">
        <f>+B49/$H$5</f>
        <v>-13738.845814977974</v>
      </c>
      <c r="D49" s="372">
        <f>+Oasis!A40</f>
        <v>37263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5">
      <c r="A50" s="537" t="s">
        <v>205</v>
      </c>
      <c r="B50" s="490">
        <f>+WTGmktg!J43</f>
        <v>-30536.28</v>
      </c>
      <c r="C50" s="206">
        <f>+B50/$H$4</f>
        <v>-13632.267857142855</v>
      </c>
      <c r="D50" s="371">
        <f>+WTGmktg!A43</f>
        <v>37262</v>
      </c>
      <c r="E50" s="32" t="s">
        <v>85</v>
      </c>
      <c r="F50" s="204" t="s">
        <v>115</v>
      </c>
      <c r="G50" s="204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5">
      <c r="A51" s="537" t="s">
        <v>142</v>
      </c>
      <c r="B51" s="352">
        <f>+C51*$H$4</f>
        <v>-25954.880000000001</v>
      </c>
      <c r="C51" s="353">
        <f>+PEPL!D41</f>
        <v>-11587</v>
      </c>
      <c r="D51" s="371">
        <f>+PEPL!A41</f>
        <v>37262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5">
      <c r="A52" s="248" t="s">
        <v>302</v>
      </c>
      <c r="B52" s="354">
        <f>+SWGasTrans!$D$41</f>
        <v>-23505.279999999999</v>
      </c>
      <c r="C52" s="71">
        <f>+B52/$H$4</f>
        <v>-10493.428571428571</v>
      </c>
      <c r="D52" s="371">
        <f>+SWGasTrans!A41</f>
        <v>37263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5">
      <c r="A53" s="32" t="s">
        <v>97</v>
      </c>
      <c r="B53" s="351">
        <f>SUM(B40:B52)</f>
        <v>-4331139.6900000004</v>
      </c>
      <c r="C53" s="206">
        <f>SUM(C40:C52)</f>
        <v>-1917579.3790709572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91</v>
      </c>
      <c r="B55" s="359">
        <f>+B53+B37</f>
        <v>3091418.4387999978</v>
      </c>
      <c r="C55" s="360">
        <f>+C53+C37</f>
        <v>1376673.4390331027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3" sqref="B13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-217982</v>
      </c>
      <c r="C7" s="80">
        <v>-82672</v>
      </c>
      <c r="D7" s="80">
        <f t="shared" si="0"/>
        <v>135310</v>
      </c>
    </row>
    <row r="8" spans="1:4" x14ac:dyDescent="0.2">
      <c r="A8" s="32">
        <v>60667</v>
      </c>
      <c r="B8" s="312">
        <v>-108557</v>
      </c>
      <c r="C8" s="80">
        <v>-439903</v>
      </c>
      <c r="D8" s="80">
        <f t="shared" si="0"/>
        <v>-331346</v>
      </c>
    </row>
    <row r="9" spans="1:4" x14ac:dyDescent="0.2">
      <c r="A9" s="32">
        <v>60749</v>
      </c>
      <c r="B9" s="312">
        <f>24003</f>
        <v>24003</v>
      </c>
      <c r="C9" s="80">
        <v>-79258</v>
      </c>
      <c r="D9" s="80">
        <f t="shared" si="0"/>
        <v>-103261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>
        <v>-1462</v>
      </c>
      <c r="C12" s="80"/>
      <c r="D12" s="80">
        <f t="shared" si="0"/>
        <v>1462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-21348</v>
      </c>
    </row>
    <row r="19" spans="1:5" x14ac:dyDescent="0.2">
      <c r="A19" s="32" t="s">
        <v>81</v>
      </c>
      <c r="B19" s="69"/>
      <c r="C19" s="69"/>
      <c r="D19" s="73">
        <f>+summary!H4</f>
        <v>2.2400000000000002</v>
      </c>
    </row>
    <row r="20" spans="1:5" x14ac:dyDescent="0.2">
      <c r="B20" s="69"/>
      <c r="C20" s="69"/>
      <c r="D20" s="75">
        <f>+D19*D18</f>
        <v>-47819.520000000004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37262</v>
      </c>
      <c r="B24" s="69"/>
      <c r="C24" s="69"/>
      <c r="D24" s="335">
        <f>+D22+D20</f>
        <v>10703.479999999996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-21348</v>
      </c>
    </row>
    <row r="34" spans="1:4" x14ac:dyDescent="0.2">
      <c r="D34" s="14">
        <f>+D33+D32</f>
        <v>4662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-30726</v>
      </c>
      <c r="C5" s="90">
        <v>-12432</v>
      </c>
      <c r="D5" s="90">
        <f t="shared" ref="D5:D13" si="0">+C5-B5</f>
        <v>18294</v>
      </c>
      <c r="E5" s="69"/>
      <c r="F5" s="201"/>
    </row>
    <row r="6" spans="1:13" x14ac:dyDescent="0.25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-753009</v>
      </c>
      <c r="C7" s="90">
        <v>-811756</v>
      </c>
      <c r="D7" s="90">
        <f t="shared" si="0"/>
        <v>-58747</v>
      </c>
      <c r="E7" s="275"/>
      <c r="F7" s="201"/>
    </row>
    <row r="8" spans="1:13" x14ac:dyDescent="0.25">
      <c r="A8" s="87">
        <v>58710</v>
      </c>
      <c r="B8" s="90">
        <v>-77657</v>
      </c>
      <c r="C8" s="90">
        <v>-73696</v>
      </c>
      <c r="D8" s="90">
        <f t="shared" si="0"/>
        <v>3961</v>
      </c>
      <c r="E8" s="275"/>
      <c r="F8" s="201"/>
    </row>
    <row r="9" spans="1:13" x14ac:dyDescent="0.25">
      <c r="A9" s="87">
        <v>60921</v>
      </c>
      <c r="B9" s="90">
        <v>-308697</v>
      </c>
      <c r="C9" s="90">
        <v>-245948</v>
      </c>
      <c r="D9" s="90">
        <f t="shared" si="0"/>
        <v>62749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v>-16378</v>
      </c>
      <c r="C11" s="90">
        <v>-21000</v>
      </c>
      <c r="D11" s="90">
        <f t="shared" si="0"/>
        <v>-4622</v>
      </c>
      <c r="E11" s="276"/>
      <c r="F11" s="475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5">
      <c r="A13" s="87">
        <v>500097</v>
      </c>
      <c r="B13" s="90">
        <v>-33353</v>
      </c>
      <c r="C13" s="90">
        <v>-28000</v>
      </c>
      <c r="D13" s="90">
        <f t="shared" si="0"/>
        <v>5353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24138</v>
      </c>
      <c r="E17" s="275"/>
      <c r="F17" s="475"/>
    </row>
    <row r="18" spans="1:7" x14ac:dyDescent="0.25">
      <c r="A18" s="87" t="s">
        <v>81</v>
      </c>
      <c r="B18" s="88"/>
      <c r="C18" s="88"/>
      <c r="D18" s="95">
        <f>+summary!H4</f>
        <v>2.2400000000000002</v>
      </c>
      <c r="E18" s="277"/>
      <c r="F18" s="475"/>
    </row>
    <row r="19" spans="1:7" x14ac:dyDescent="0.25">
      <c r="A19" s="87"/>
      <c r="B19" s="88"/>
      <c r="C19" s="88"/>
      <c r="D19" s="96">
        <f>+D18*D17</f>
        <v>54069.120000000003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37263</v>
      </c>
      <c r="B23" s="88"/>
      <c r="C23" s="88"/>
      <c r="D23" s="321">
        <f>+D21+D19</f>
        <v>767784.44</v>
      </c>
      <c r="E23" s="207"/>
      <c r="F23" s="476"/>
    </row>
    <row r="24" spans="1:7" ht="13.8" thickTop="1" x14ac:dyDescent="0.25">
      <c r="E24" s="278"/>
    </row>
    <row r="25" spans="1:7" x14ac:dyDescent="0.25">
      <c r="E25" s="53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04">
        <v>283678</v>
      </c>
    </row>
    <row r="29" spans="1:7" x14ac:dyDescent="0.25">
      <c r="A29" s="49">
        <f>+A23</f>
        <v>37263</v>
      </c>
      <c r="B29" s="32"/>
      <c r="C29" s="32"/>
      <c r="D29" s="355">
        <f>+D17</f>
        <v>24138</v>
      </c>
    </row>
    <row r="30" spans="1:7" x14ac:dyDescent="0.25">
      <c r="A30" s="32"/>
      <c r="B30" s="32"/>
      <c r="C30" s="32"/>
      <c r="D30" s="14">
        <f>+D29+D28</f>
        <v>307816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C10" sqref="C1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383775</v>
      </c>
      <c r="C34" s="287">
        <f>SUM(C3:C33)</f>
        <v>391090</v>
      </c>
      <c r="D34" s="14">
        <f>SUM(D3:D33)</f>
        <v>-63406</v>
      </c>
      <c r="E34" s="14">
        <f>SUM(E3:E33)</f>
        <v>-60000</v>
      </c>
      <c r="F34" s="14">
        <f>SUM(F3:F33)</f>
        <v>10721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5">
      <c r="A38" s="256">
        <v>37263</v>
      </c>
      <c r="B38" s="14"/>
      <c r="C38" s="14"/>
      <c r="D38" s="14"/>
      <c r="E38" s="14"/>
      <c r="F38" s="150">
        <f>+F37+F34</f>
        <v>126831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37263</v>
      </c>
      <c r="B44" s="32"/>
      <c r="C44" s="32"/>
      <c r="D44" s="382">
        <f>+F34*'by type_area'!J4</f>
        <v>24015.040000000001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320391.03999999998</v>
      </c>
      <c r="F45" s="293"/>
      <c r="I45" s="533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509">
        <v>186823</v>
      </c>
    </row>
    <row r="39" spans="1:4" x14ac:dyDescent="0.25">
      <c r="A39" s="2"/>
      <c r="D39" s="24"/>
    </row>
    <row r="40" spans="1:4" x14ac:dyDescent="0.25">
      <c r="A40" s="57">
        <v>37263</v>
      </c>
      <c r="D40" s="51">
        <f>+D38+D35</f>
        <v>191294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507">
        <v>199813</v>
      </c>
    </row>
    <row r="46" spans="1:4" x14ac:dyDescent="0.25">
      <c r="A46" s="49">
        <f>+A40</f>
        <v>37263</v>
      </c>
      <c r="B46" s="32"/>
      <c r="C46" s="32"/>
      <c r="D46" s="382">
        <f>+D35*'by type_area'!J4</f>
        <v>10015.040000000001</v>
      </c>
    </row>
    <row r="47" spans="1:4" x14ac:dyDescent="0.25">
      <c r="A47" s="32"/>
      <c r="B47" s="32"/>
      <c r="C47" s="32"/>
      <c r="D47" s="200">
        <f>+D46+D45</f>
        <v>209828.04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13" sqref="A1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74190</v>
      </c>
      <c r="C35" s="11">
        <f t="shared" ref="C35:I35" si="1">SUM(C4:C34)</f>
        <v>77500</v>
      </c>
      <c r="D35" s="11">
        <f t="shared" si="1"/>
        <v>56787</v>
      </c>
      <c r="E35" s="11">
        <f t="shared" si="1"/>
        <v>58600</v>
      </c>
      <c r="F35" s="11">
        <f t="shared" si="1"/>
        <v>32837</v>
      </c>
      <c r="G35" s="11">
        <f t="shared" si="1"/>
        <v>54600</v>
      </c>
      <c r="H35" s="11">
        <f t="shared" si="1"/>
        <v>0</v>
      </c>
      <c r="I35" s="11">
        <f t="shared" si="1"/>
        <v>0</v>
      </c>
      <c r="J35" s="11">
        <f>SUM(J4:J34)</f>
        <v>26886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2.2400000000000002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60224.640000000007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37263</v>
      </c>
      <c r="J41" s="322">
        <f>+J39+J37</f>
        <v>65109.640000000007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37263</v>
      </c>
      <c r="B47" s="32"/>
      <c r="C47" s="32"/>
      <c r="D47" s="355">
        <f>+J35</f>
        <v>26886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-98497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+summary!H4</f>
        <v>2.2400000000000002</v>
      </c>
    </row>
    <row r="41" spans="1:6" x14ac:dyDescent="0.25">
      <c r="F41" s="138">
        <f>+F40*F39</f>
        <v>0</v>
      </c>
    </row>
    <row r="42" spans="1:6" x14ac:dyDescent="0.25">
      <c r="A42" s="57">
        <v>37256</v>
      </c>
      <c r="C42" s="15"/>
      <c r="F42" s="514">
        <v>34262</v>
      </c>
    </row>
    <row r="43" spans="1:6" x14ac:dyDescent="0.25">
      <c r="A43" s="57">
        <v>37256</v>
      </c>
      <c r="C43" s="48"/>
      <c r="F43" s="138">
        <f>+F42+F41</f>
        <v>34262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504">
        <v>748</v>
      </c>
    </row>
    <row r="49" spans="1:4" x14ac:dyDescent="0.25">
      <c r="A49" s="49">
        <f>+A43</f>
        <v>37256</v>
      </c>
      <c r="B49" s="32"/>
      <c r="C49" s="32"/>
      <c r="D49" s="355">
        <f>+F39</f>
        <v>0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8"/>
    </row>
    <row r="41" spans="1:4" x14ac:dyDescent="0.25">
      <c r="A41" s="57">
        <v>37256</v>
      </c>
      <c r="C41" s="15"/>
      <c r="D41" s="465">
        <v>16328</v>
      </c>
    </row>
    <row r="42" spans="1:4" x14ac:dyDescent="0.25">
      <c r="A42" s="57">
        <v>37263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9">
        <v>383278</v>
      </c>
    </row>
    <row r="48" spans="1:4" x14ac:dyDescent="0.25">
      <c r="A48" s="49">
        <f>+A42</f>
        <v>37263</v>
      </c>
      <c r="B48" s="32"/>
      <c r="C48" s="32"/>
      <c r="D48" s="382">
        <f>+D39*summary!H4</f>
        <v>0</v>
      </c>
    </row>
    <row r="49" spans="1:4" x14ac:dyDescent="0.25">
      <c r="A49" s="32"/>
      <c r="B49" s="32"/>
      <c r="C49" s="32"/>
      <c r="D49" s="200">
        <f>+D48+D47</f>
        <v>383278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3" sqref="C1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-608340</v>
      </c>
      <c r="I19" s="119">
        <f>+C37</f>
        <v>-583193</v>
      </c>
      <c r="J19" s="119">
        <f>+I19-H19</f>
        <v>25147</v>
      </c>
      <c r="K19" s="420">
        <f>+D38</f>
        <v>2.2400000000000002</v>
      </c>
      <c r="L19" s="425">
        <f>+K19*J19</f>
        <v>56329.280000000006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155639</v>
      </c>
      <c r="K24" s="416"/>
      <c r="L24" s="110">
        <f>+L19+L17</f>
        <v>138014.37999999983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61613.56249999992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-608340</v>
      </c>
      <c r="C37" s="11">
        <f>SUM(C6:C36)</f>
        <v>-583193</v>
      </c>
      <c r="D37" s="25">
        <f>SUM(D6:D36)</f>
        <v>25147</v>
      </c>
    </row>
    <row r="38" spans="1:4" x14ac:dyDescent="0.25">
      <c r="A38" s="26"/>
      <c r="C38" s="14"/>
      <c r="D38" s="329">
        <f>+summary!H4</f>
        <v>2.2400000000000002</v>
      </c>
    </row>
    <row r="39" spans="1:4" x14ac:dyDescent="0.25">
      <c r="D39" s="138">
        <f>+D38*D37</f>
        <v>56329.280000000006</v>
      </c>
    </row>
    <row r="40" spans="1:4" x14ac:dyDescent="0.25">
      <c r="A40" s="57">
        <v>37256</v>
      </c>
      <c r="C40" s="15"/>
      <c r="D40" s="514">
        <v>181805</v>
      </c>
    </row>
    <row r="41" spans="1:4" x14ac:dyDescent="0.25">
      <c r="A41" s="57">
        <v>37263</v>
      </c>
      <c r="C41" s="48"/>
      <c r="D41" s="138">
        <f>+D40+D39</f>
        <v>238134.28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174403</v>
      </c>
    </row>
    <row r="46" spans="1:4" x14ac:dyDescent="0.25">
      <c r="A46" s="49">
        <f>+A41</f>
        <v>37263</v>
      </c>
      <c r="B46" s="32"/>
      <c r="C46" s="32"/>
      <c r="D46" s="355">
        <f>+D37</f>
        <v>25147</v>
      </c>
    </row>
    <row r="47" spans="1:4" x14ac:dyDescent="0.25">
      <c r="A47" s="32"/>
      <c r="B47" s="32"/>
      <c r="C47" s="32"/>
      <c r="D47" s="14">
        <f>+D46+D45</f>
        <v>199550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35" sqref="D35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207856</v>
      </c>
      <c r="C37" s="11">
        <f>SUM(C6:C36)</f>
        <v>216088</v>
      </c>
      <c r="D37" s="25">
        <f>SUM(D6:D36)</f>
        <v>8232</v>
      </c>
    </row>
    <row r="38" spans="1:4" x14ac:dyDescent="0.25">
      <c r="A38" s="26"/>
      <c r="B38" s="31"/>
      <c r="C38" s="14"/>
      <c r="D38" s="329">
        <f>+summary!H5</f>
        <v>2.27</v>
      </c>
    </row>
    <row r="39" spans="1:4" x14ac:dyDescent="0.25">
      <c r="D39" s="138">
        <f>+D38*D37</f>
        <v>18686.64</v>
      </c>
    </row>
    <row r="40" spans="1:4" x14ac:dyDescent="0.25">
      <c r="A40" s="57">
        <v>37256</v>
      </c>
      <c r="C40" s="15"/>
      <c r="D40" s="514">
        <v>85004</v>
      </c>
    </row>
    <row r="41" spans="1:4" x14ac:dyDescent="0.25">
      <c r="A41" s="57">
        <v>37263</v>
      </c>
      <c r="C41" s="48"/>
      <c r="D41" s="138">
        <f>+D40+D39</f>
        <v>103690.64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54582</v>
      </c>
    </row>
    <row r="46" spans="1:4" x14ac:dyDescent="0.25">
      <c r="A46" s="49">
        <f>+A41</f>
        <v>37263</v>
      </c>
      <c r="B46" s="32"/>
      <c r="C46" s="32"/>
      <c r="D46" s="355">
        <f>+D37</f>
        <v>8232</v>
      </c>
    </row>
    <row r="47" spans="1:4" x14ac:dyDescent="0.25">
      <c r="A47" s="32"/>
      <c r="B47" s="32"/>
      <c r="C47" s="32"/>
      <c r="D47" s="14">
        <f>+D46+D45</f>
        <v>62814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4" sqref="C34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1918430</v>
      </c>
      <c r="C35" s="11">
        <f t="shared" ref="C35:I35" si="3">SUM(C4:C34)</f>
        <v>1937106</v>
      </c>
      <c r="D35" s="11">
        <f t="shared" si="3"/>
        <v>270111</v>
      </c>
      <c r="E35" s="11">
        <f t="shared" si="3"/>
        <v>272428</v>
      </c>
      <c r="F35" s="11">
        <f t="shared" si="3"/>
        <v>267282</v>
      </c>
      <c r="G35" s="11">
        <f t="shared" si="3"/>
        <v>319014</v>
      </c>
      <c r="H35" s="11">
        <f t="shared" si="3"/>
        <v>867976</v>
      </c>
      <c r="I35" s="11">
        <f t="shared" si="3"/>
        <v>826249</v>
      </c>
      <c r="J35" s="11">
        <f>SUM(J4:J34)</f>
        <v>30998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37263</v>
      </c>
      <c r="J40" s="51">
        <f>+J38+J35</f>
        <v>30998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37263</v>
      </c>
      <c r="B47" s="32"/>
      <c r="C47" s="32"/>
      <c r="D47" s="382">
        <f>+J35*'by type_area'!J3</f>
        <v>67575.64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67575.64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5">
      <c r="A38" s="26"/>
      <c r="C38" s="14"/>
      <c r="D38" s="329">
        <f>+summary!H5</f>
        <v>2.27</v>
      </c>
    </row>
    <row r="39" spans="1:4" x14ac:dyDescent="0.25">
      <c r="D39" s="138">
        <f>+D38*D37</f>
        <v>-8251.4500000000007</v>
      </c>
    </row>
    <row r="40" spans="1:4" x14ac:dyDescent="0.25">
      <c r="A40" s="57">
        <v>37256</v>
      </c>
      <c r="C40" s="15"/>
      <c r="D40" s="513">
        <v>45576</v>
      </c>
    </row>
    <row r="41" spans="1:4" x14ac:dyDescent="0.25">
      <c r="A41" s="57">
        <v>37262</v>
      </c>
      <c r="C41" s="48"/>
      <c r="D41" s="138">
        <f>+D40+D39</f>
        <v>37324.550000000003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21398</v>
      </c>
    </row>
    <row r="47" spans="1:4" x14ac:dyDescent="0.25">
      <c r="A47" s="49">
        <f>+A41</f>
        <v>37262</v>
      </c>
      <c r="B47" s="32"/>
      <c r="C47" s="32"/>
      <c r="D47" s="355">
        <f>+D37</f>
        <v>-3635</v>
      </c>
    </row>
    <row r="48" spans="1:4" x14ac:dyDescent="0.25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5">
      <c r="A38" s="26"/>
      <c r="C38" s="14"/>
      <c r="D38" s="329">
        <f>+summary!H4</f>
        <v>2.2400000000000002</v>
      </c>
    </row>
    <row r="39" spans="1:4" x14ac:dyDescent="0.25">
      <c r="D39" s="138">
        <f>+D38*D37</f>
        <v>6520.64</v>
      </c>
    </row>
    <row r="40" spans="1:4" x14ac:dyDescent="0.25">
      <c r="A40" s="57">
        <v>37256</v>
      </c>
      <c r="C40" s="15"/>
      <c r="D40" s="514">
        <v>-355805</v>
      </c>
    </row>
    <row r="41" spans="1:4" x14ac:dyDescent="0.25">
      <c r="A41" s="57">
        <v>37262</v>
      </c>
      <c r="C41" s="48"/>
      <c r="D41" s="138">
        <f>+D40+D39</f>
        <v>-349284.36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04">
        <v>-44621</v>
      </c>
    </row>
    <row r="49" spans="1:4" x14ac:dyDescent="0.25">
      <c r="A49" s="49">
        <f>+A41</f>
        <v>37262</v>
      </c>
      <c r="B49" s="32"/>
      <c r="C49" s="32"/>
      <c r="D49" s="355">
        <f>+D37</f>
        <v>2911</v>
      </c>
    </row>
    <row r="50" spans="1:4" x14ac:dyDescent="0.25">
      <c r="A50" s="32"/>
      <c r="B50" s="32"/>
      <c r="C50" s="32"/>
      <c r="D50" s="14">
        <f>+D49+D48</f>
        <v>-41710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6" workbookViewId="0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-19494</v>
      </c>
      <c r="C37" s="11">
        <f>SUM(C6:C36)</f>
        <v>-34000</v>
      </c>
      <c r="D37" s="25">
        <f>SUM(D6:D36)</f>
        <v>-14506</v>
      </c>
    </row>
    <row r="38" spans="1:4" x14ac:dyDescent="0.25">
      <c r="A38" s="26"/>
      <c r="C38" s="14"/>
      <c r="D38" s="329">
        <f>+summary!H4</f>
        <v>2.2400000000000002</v>
      </c>
    </row>
    <row r="39" spans="1:4" x14ac:dyDescent="0.25">
      <c r="D39" s="138">
        <f>+D38*D37</f>
        <v>-32493.440000000002</v>
      </c>
    </row>
    <row r="40" spans="1:4" x14ac:dyDescent="0.25">
      <c r="A40" s="57">
        <v>37256</v>
      </c>
      <c r="C40" s="15"/>
      <c r="D40" s="514">
        <v>67745</v>
      </c>
    </row>
    <row r="41" spans="1:4" x14ac:dyDescent="0.25">
      <c r="A41" s="57">
        <v>37263</v>
      </c>
      <c r="C41" s="48"/>
      <c r="D41" s="138">
        <f>+D40+D39</f>
        <v>35251.56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36152</v>
      </c>
    </row>
    <row r="47" spans="1:4" x14ac:dyDescent="0.25">
      <c r="A47" s="49">
        <f>+A41</f>
        <v>37263</v>
      </c>
      <c r="B47" s="32"/>
      <c r="C47" s="32"/>
      <c r="D47" s="355">
        <f>+D37</f>
        <v>-14506</v>
      </c>
    </row>
    <row r="48" spans="1:4" x14ac:dyDescent="0.25">
      <c r="A48" s="32"/>
      <c r="B48" s="32"/>
      <c r="C48" s="32"/>
      <c r="D48" s="14">
        <f>+D47+D46</f>
        <v>21646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-756</v>
      </c>
      <c r="D5" s="90">
        <f>+C5-B5</f>
        <v>-756</v>
      </c>
      <c r="E5" s="275"/>
      <c r="F5" s="273"/>
    </row>
    <row r="6" spans="1:13" x14ac:dyDescent="0.25">
      <c r="A6" s="87">
        <v>500046</v>
      </c>
      <c r="B6" s="90">
        <v>-1951</v>
      </c>
      <c r="C6" s="90"/>
      <c r="D6" s="90">
        <f t="shared" ref="D6:D11" si="0">+C6-B6</f>
        <v>1951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-6459</v>
      </c>
      <c r="C8" s="90">
        <v>-11159</v>
      </c>
      <c r="D8" s="90">
        <f t="shared" si="0"/>
        <v>-4700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-3505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+summary!H4</f>
        <v>2.2400000000000002</v>
      </c>
      <c r="E13" s="277"/>
      <c r="F13" s="273"/>
    </row>
    <row r="14" spans="1:13" x14ac:dyDescent="0.25">
      <c r="A14" s="87"/>
      <c r="B14" s="88"/>
      <c r="C14" s="88"/>
      <c r="D14" s="96">
        <f>+D13*D12</f>
        <v>-7851.2000000000007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37259</v>
      </c>
      <c r="B18" s="88"/>
      <c r="C18" s="88"/>
      <c r="D18" s="321">
        <f>+D16+D14</f>
        <v>-546563.24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04">
        <v>-37276</v>
      </c>
    </row>
    <row r="23" spans="1:7" x14ac:dyDescent="0.25">
      <c r="A23" s="49">
        <f>+A18</f>
        <v>37259</v>
      </c>
      <c r="B23" s="32"/>
      <c r="C23" s="32"/>
      <c r="D23" s="355">
        <f>+D12</f>
        <v>-3505</v>
      </c>
    </row>
    <row r="24" spans="1:7" x14ac:dyDescent="0.25">
      <c r="A24" s="32"/>
      <c r="B24" s="32"/>
      <c r="C24" s="32"/>
      <c r="D24" s="14">
        <f>+D23+D22</f>
        <v>-40781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502">
        <v>-8253</v>
      </c>
    </row>
    <row r="41" spans="1:4" x14ac:dyDescent="0.25">
      <c r="A41" s="57">
        <v>37262</v>
      </c>
      <c r="C41" s="48"/>
      <c r="D41" s="25">
        <f>+D40+D37</f>
        <v>-11587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7">
        <v>163235</v>
      </c>
    </row>
    <row r="46" spans="1:4" x14ac:dyDescent="0.25">
      <c r="A46" s="49">
        <f>+A41</f>
        <v>37262</v>
      </c>
      <c r="B46" s="32"/>
      <c r="C46" s="32"/>
      <c r="D46" s="382">
        <f>+D37*'by type_area'!J4</f>
        <v>-7468.1600000000008</v>
      </c>
    </row>
    <row r="47" spans="1:4" x14ac:dyDescent="0.25">
      <c r="A47" s="32"/>
      <c r="B47" s="32"/>
      <c r="C47" s="32"/>
      <c r="D47" s="200">
        <f>+D46+D45</f>
        <v>155766.84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241</v>
      </c>
      <c r="C3" s="87"/>
      <c r="D3" s="87"/>
    </row>
    <row r="4" spans="1:4" x14ac:dyDescent="0.25">
      <c r="A4" s="3"/>
      <c r="B4" s="331" t="s">
        <v>240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2.27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14">
        <f>-195699.5+(-15500+11944)*2.26</f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f>-47898-15550+11944</f>
        <v>-51504</v>
      </c>
    </row>
    <row r="47" spans="1:4" x14ac:dyDescent="0.25">
      <c r="A47" s="49">
        <f>+A41</f>
        <v>37256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-51504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242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2.2400000000000002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5046.72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37262</v>
      </c>
      <c r="J43" s="322">
        <f>+J41+J39</f>
        <v>-30536.28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306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2.2400000000000002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3290.5600000000004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37262</v>
      </c>
      <c r="N43" s="322">
        <f>+N41+N39</f>
        <v>35784.559999999998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3" sqref="C1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206</v>
      </c>
      <c r="C3" s="87"/>
      <c r="D3" s="87"/>
    </row>
    <row r="4" spans="1:4" x14ac:dyDescent="0.25">
      <c r="A4" s="3"/>
      <c r="B4" s="331" t="s">
        <v>207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1494</v>
      </c>
      <c r="C37" s="11">
        <f>SUM(C6:C36)</f>
        <v>1050</v>
      </c>
      <c r="D37" s="25">
        <f>SUM(D6:D36)</f>
        <v>-444</v>
      </c>
    </row>
    <row r="38" spans="1:4" x14ac:dyDescent="0.25">
      <c r="A38" s="26"/>
      <c r="C38" s="14"/>
      <c r="D38" s="329">
        <f>+summary!H5</f>
        <v>2.27</v>
      </c>
    </row>
    <row r="39" spans="1:4" x14ac:dyDescent="0.25">
      <c r="D39" s="138">
        <f>+D38*D37</f>
        <v>-1007.88</v>
      </c>
    </row>
    <row r="40" spans="1:4" x14ac:dyDescent="0.25">
      <c r="A40" s="57">
        <v>37256</v>
      </c>
      <c r="C40" s="15"/>
      <c r="D40" s="514">
        <v>180032</v>
      </c>
    </row>
    <row r="41" spans="1:4" x14ac:dyDescent="0.25">
      <c r="A41" s="57">
        <v>37263</v>
      </c>
      <c r="C41" s="48"/>
      <c r="D41" s="138">
        <f>+D40+D39</f>
        <v>179024.12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78993</v>
      </c>
    </row>
    <row r="47" spans="1:4" x14ac:dyDescent="0.25">
      <c r="A47" s="49">
        <f>+A41</f>
        <v>37263</v>
      </c>
      <c r="B47" s="32"/>
      <c r="C47" s="32"/>
      <c r="D47" s="355">
        <f>+D37</f>
        <v>-444</v>
      </c>
    </row>
    <row r="48" spans="1:4" x14ac:dyDescent="0.25">
      <c r="A48" s="32"/>
      <c r="B48" s="32"/>
      <c r="C48" s="32"/>
      <c r="D48" s="14">
        <f>+D47+D46</f>
        <v>78549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209</v>
      </c>
      <c r="C3" s="87"/>
      <c r="D3" s="87"/>
    </row>
    <row r="4" spans="1:4" x14ac:dyDescent="0.25">
      <c r="A4" s="3"/>
      <c r="B4" s="331" t="s">
        <v>210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614</v>
      </c>
      <c r="C37" s="11">
        <f>SUM(C6:C36)</f>
        <v>3087</v>
      </c>
      <c r="D37" s="25">
        <f>SUM(D6:D36)</f>
        <v>2473</v>
      </c>
    </row>
    <row r="38" spans="1:4" x14ac:dyDescent="0.25">
      <c r="A38" s="26"/>
      <c r="C38" s="14"/>
      <c r="D38" s="329">
        <f>+summary!H5</f>
        <v>2.27</v>
      </c>
    </row>
    <row r="39" spans="1:4" x14ac:dyDescent="0.25">
      <c r="D39" s="138">
        <f>+D38*D37</f>
        <v>5613.71</v>
      </c>
    </row>
    <row r="40" spans="1:4" x14ac:dyDescent="0.25">
      <c r="A40" s="57">
        <v>37256</v>
      </c>
      <c r="C40" s="15"/>
      <c r="D40" s="514">
        <v>161290</v>
      </c>
    </row>
    <row r="41" spans="1:4" x14ac:dyDescent="0.25">
      <c r="A41" s="57">
        <v>37263</v>
      </c>
      <c r="C41" s="48"/>
      <c r="D41" s="138">
        <f>+D40+D39</f>
        <v>166903.71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33970</v>
      </c>
    </row>
    <row r="47" spans="1:4" x14ac:dyDescent="0.25">
      <c r="A47" s="49">
        <f>+A41</f>
        <v>37263</v>
      </c>
      <c r="B47" s="32"/>
      <c r="C47" s="32"/>
      <c r="D47" s="355">
        <f>+D37</f>
        <v>2473</v>
      </c>
    </row>
    <row r="48" spans="1:4" x14ac:dyDescent="0.25">
      <c r="A48" s="32"/>
      <c r="B48" s="32"/>
      <c r="C48" s="32"/>
      <c r="D48" s="14">
        <f>+D47+D46</f>
        <v>36443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workbookViewId="0">
      <selection activeCell="C12" sqref="C1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-119027</v>
      </c>
      <c r="C36" s="44">
        <f>SUM(C5:C35)</f>
        <v>-119607</v>
      </c>
      <c r="D36" s="43">
        <f>SUM(D5:D35)</f>
        <v>-410208</v>
      </c>
      <c r="E36" s="43">
        <f>SUM(E5:E35)</f>
        <v>-405420</v>
      </c>
      <c r="F36" s="11">
        <f>SUM(F5:F35)</f>
        <v>4208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0">
        <f>+summary!H5</f>
        <v>2.27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9552.16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37263</v>
      </c>
      <c r="B43" s="32"/>
      <c r="C43" s="106"/>
      <c r="D43" s="106"/>
      <c r="E43" s="106"/>
      <c r="F43" s="24">
        <f>+F40+F42</f>
        <v>19238.16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37263</v>
      </c>
      <c r="B49" s="32"/>
      <c r="C49" s="32"/>
      <c r="D49" s="76">
        <f>+F36</f>
        <v>4208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24151.24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7206.0800000000008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-125903.17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2.2400000000000002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347.20000000000005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114633.84999999999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301</v>
      </c>
      <c r="C3" s="87"/>
      <c r="D3" s="87"/>
    </row>
    <row r="4" spans="1:4" x14ac:dyDescent="0.25">
      <c r="A4" s="3"/>
      <c r="B4" s="331" t="s">
        <v>300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-95203</v>
      </c>
      <c r="C37" s="11">
        <f>SUM(C6:C36)</f>
        <v>-98000</v>
      </c>
      <c r="D37" s="25">
        <f>SUM(D6:D36)</f>
        <v>-2797</v>
      </c>
    </row>
    <row r="38" spans="1:4" x14ac:dyDescent="0.25">
      <c r="A38" s="26"/>
      <c r="C38" s="14"/>
      <c r="D38" s="329">
        <f>+summary!H4</f>
        <v>2.2400000000000002</v>
      </c>
    </row>
    <row r="39" spans="1:4" x14ac:dyDescent="0.25">
      <c r="D39" s="138">
        <f>+D38*D37</f>
        <v>-6265.2800000000007</v>
      </c>
    </row>
    <row r="40" spans="1:4" x14ac:dyDescent="0.25">
      <c r="A40" s="57">
        <v>37256</v>
      </c>
      <c r="C40" s="15"/>
      <c r="D40" s="514">
        <v>-17240</v>
      </c>
    </row>
    <row r="41" spans="1:4" x14ac:dyDescent="0.25">
      <c r="A41" s="57">
        <v>37263</v>
      </c>
      <c r="C41" s="48"/>
      <c r="D41" s="138">
        <f>+D40+D39</f>
        <v>-23505.279999999999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5329</v>
      </c>
    </row>
    <row r="47" spans="1:4" x14ac:dyDescent="0.25">
      <c r="A47" s="49">
        <f>+A41</f>
        <v>37263</v>
      </c>
      <c r="B47" s="32"/>
      <c r="C47" s="32"/>
      <c r="D47" s="355">
        <f>+D37</f>
        <v>-2797</v>
      </c>
    </row>
    <row r="48" spans="1:4" x14ac:dyDescent="0.25">
      <c r="A48" s="32"/>
      <c r="B48" s="32"/>
      <c r="C48" s="32"/>
      <c r="D48" s="14">
        <f>+D47+D46</f>
        <v>2532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5">
      <c r="A39" s="26"/>
      <c r="C39" s="14"/>
      <c r="D39" s="106">
        <f>+summary!H3</f>
        <v>2.1800000000000002</v>
      </c>
    </row>
    <row r="40" spans="1:8" x14ac:dyDescent="0.25">
      <c r="D40" s="138">
        <f>+D39*D38</f>
        <v>-14523.160000000002</v>
      </c>
      <c r="H40">
        <v>20</v>
      </c>
    </row>
    <row r="41" spans="1:8" x14ac:dyDescent="0.25">
      <c r="A41" s="57">
        <v>37256</v>
      </c>
      <c r="C41" s="15"/>
      <c r="D41" s="535">
        <v>47283</v>
      </c>
      <c r="H41">
        <v>530</v>
      </c>
    </row>
    <row r="42" spans="1:8" x14ac:dyDescent="0.25">
      <c r="A42" s="57">
        <v>37262</v>
      </c>
      <c r="D42" s="322">
        <f>+D41+D40</f>
        <v>32759.839999999997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04">
        <v>20412</v>
      </c>
    </row>
    <row r="48" spans="1:8" x14ac:dyDescent="0.25">
      <c r="A48" s="49">
        <f>+A42</f>
        <v>37262</v>
      </c>
      <c r="B48" s="32"/>
      <c r="C48" s="32"/>
      <c r="D48" s="355">
        <f>+D38</f>
        <v>-6662</v>
      </c>
    </row>
    <row r="49" spans="1:4" x14ac:dyDescent="0.25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26">
        <v>59071</v>
      </c>
    </row>
    <row r="39" spans="1:30" x14ac:dyDescent="0.25">
      <c r="A39" s="12"/>
      <c r="D39" s="51"/>
    </row>
    <row r="40" spans="1:30" x14ac:dyDescent="0.25">
      <c r="A40" s="245">
        <v>37262</v>
      </c>
      <c r="D40" s="51">
        <f>+D38+D35</f>
        <v>45210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82"/>
      <c r="K44"/>
    </row>
    <row r="45" spans="1:30" x14ac:dyDescent="0.25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37262</v>
      </c>
      <c r="B46" s="32"/>
      <c r="C46" s="32"/>
      <c r="D46" s="382">
        <f>+D35*'by type_area'!J4</f>
        <v>-31048.640000000003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-18595.640000000003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C11" sqref="C1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-3584725</v>
      </c>
      <c r="C35" s="11">
        <f>SUM(C4:C34)</f>
        <v>-3573377</v>
      </c>
      <c r="D35" s="11">
        <f>SUM(D4:D34)</f>
        <v>0</v>
      </c>
      <c r="E35" s="11">
        <f>SUM(E4:E34)</f>
        <v>0</v>
      </c>
      <c r="F35" s="11">
        <f>SUM(F4:F34)</f>
        <v>11348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496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37263</v>
      </c>
      <c r="D40" s="246"/>
      <c r="E40" s="246"/>
      <c r="F40" s="51">
        <f>+F38+F35</f>
        <v>115768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37263</v>
      </c>
      <c r="B46" s="32"/>
      <c r="C46" s="32"/>
      <c r="D46" s="483">
        <f>+F35*'by type_area'!J4</f>
        <v>25419.520000000004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1">
        <f>+D46+D45</f>
        <v>357336.52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3.2" x14ac:dyDescent="0.25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3.2" x14ac:dyDescent="0.25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2.2400000000000002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9811.2000000000007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-58446.8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498">
        <v>64166</v>
      </c>
      <c r="D38" s="323"/>
      <c r="E38" s="501">
        <v>-22159</v>
      </c>
      <c r="F38" s="24"/>
      <c r="G38" s="24"/>
      <c r="H38" s="236">
        <f>+C38+E38+G38</f>
        <v>42007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-27726</v>
      </c>
      <c r="F39" s="252"/>
      <c r="G39" s="131"/>
      <c r="H39" s="131">
        <f>+H38+H36</f>
        <v>36440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-12136.060000000001</v>
      </c>
      <c r="F45" s="47">
        <f>+E45+C45</f>
        <v>-12136.060000000001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37263</v>
      </c>
      <c r="I23" s="11">
        <f>+B39</f>
        <v>1022708</v>
      </c>
      <c r="J23" s="11">
        <f>+C39</f>
        <v>1014209</v>
      </c>
      <c r="K23" s="11">
        <f>+D39</f>
        <v>89692</v>
      </c>
      <c r="L23" s="11">
        <f>+E39</f>
        <v>91231</v>
      </c>
      <c r="M23" s="42">
        <f>+J23-I23+L23-K23</f>
        <v>-6960</v>
      </c>
      <c r="N23" s="102">
        <f>+summary!H3</f>
        <v>2.1800000000000002</v>
      </c>
      <c r="O23" s="532">
        <f>+N23*M23</f>
        <v>-15172.800000000001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82840</v>
      </c>
      <c r="N24" s="102"/>
      <c r="O24" s="102">
        <f>SUM(O9:O23)</f>
        <v>552943.53999999992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1022708</v>
      </c>
      <c r="C39" s="150">
        <f>SUM(C8:C38)</f>
        <v>1014209</v>
      </c>
      <c r="D39" s="150">
        <f>SUM(D8:D38)</f>
        <v>89692</v>
      </c>
      <c r="E39" s="150">
        <f>SUM(E8:E38)</f>
        <v>91231</v>
      </c>
      <c r="F39" s="11">
        <f t="shared" si="5"/>
        <v>-6960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37263</v>
      </c>
      <c r="B45" s="32"/>
      <c r="C45" s="106"/>
      <c r="D45" s="106"/>
      <c r="E45" s="106"/>
      <c r="F45" s="24">
        <f>+F44+F39</f>
        <v>23286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37263</v>
      </c>
      <c r="B51" s="32"/>
      <c r="C51" s="32"/>
      <c r="D51" s="355">
        <f>+F39*summary!H3</f>
        <v>-15172.800000000001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419445.2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2002-01-07T19:18:11Z</cp:lastPrinted>
  <dcterms:created xsi:type="dcterms:W3CDTF">2000-03-28T16:52:23Z</dcterms:created>
  <dcterms:modified xsi:type="dcterms:W3CDTF">2023-09-10T12:02:13Z</dcterms:modified>
</cp:coreProperties>
</file>