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<sst xmlns="http://schemas.openxmlformats.org/spreadsheetml/2006/main" count="1037" uniqueCount="334">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</sst>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2.14</v>
          </cell>
          <cell r="K39">
            <v>2.1</v>
          </cell>
          <cell r="M39">
            <v>2.13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2.1</v>
      </c>
      <c r="H3" s="402">
        <f ca="1">NOW()</f>
        <v>37280.633351851851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2.13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2.14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7" t="s">
        <v>127</v>
      </c>
      <c r="B12" s="346">
        <f>+Calpine!D41</f>
        <v>32109.210000000021</v>
      </c>
      <c r="C12" s="369">
        <f>+B12/$G$4</f>
        <v>15074.74647887325</v>
      </c>
      <c r="D12" s="14">
        <f>+Calpine!D47</f>
        <v>104194</v>
      </c>
      <c r="E12" s="70">
        <f>+C12-D12</f>
        <v>-89119.253521126753</v>
      </c>
      <c r="F12" s="364">
        <f>+Calpine!A41</f>
        <v>37278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26247.990000000005</v>
      </c>
      <c r="C13" s="368">
        <f>+B13/$G$4</f>
        <v>12323.000000000004</v>
      </c>
      <c r="D13" s="14">
        <f>+'Citizens-Griffith'!D48</f>
        <v>16670</v>
      </c>
      <c r="E13" s="70">
        <f>+C13-D13</f>
        <v>-4346.9999999999964</v>
      </c>
      <c r="F13" s="364">
        <f>+'Citizens-Griffith'!A41</f>
        <v>37278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297</v>
      </c>
      <c r="B14" s="480">
        <f>+SWGasTrans!D41</f>
        <v>-24077.13</v>
      </c>
      <c r="C14" s="368">
        <f>+B14/G4</f>
        <v>-11303.816901408452</v>
      </c>
      <c r="D14" s="14">
        <f>+SWGasTrans!$D$48</f>
        <v>1576</v>
      </c>
      <c r="E14" s="70">
        <f>+C14-D14</f>
        <v>-12879.816901408452</v>
      </c>
      <c r="F14" s="364">
        <f>+SWGasTrans!A41</f>
        <v>37278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-295811.42</v>
      </c>
      <c r="C15" s="368">
        <f>+B15/$G$4</f>
        <v>-138878.60093896714</v>
      </c>
      <c r="D15" s="14">
        <f>+'NS Steel'!D50</f>
        <v>-16455</v>
      </c>
      <c r="E15" s="70">
        <f>+C15-D15</f>
        <v>-122423.60093896714</v>
      </c>
      <c r="F15" s="365">
        <f>+'NS Steel'!A41</f>
        <v>37278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7" t="s">
        <v>135</v>
      </c>
      <c r="B16" s="349">
        <f>+Citizens!D18</f>
        <v>-550935</v>
      </c>
      <c r="C16" s="370">
        <f>+B16/$G$4</f>
        <v>-258654.92957746479</v>
      </c>
      <c r="D16" s="350">
        <f>+Citizens!D24</f>
        <v>-43040</v>
      </c>
      <c r="E16" s="72">
        <f>+C16-D16</f>
        <v>-215614.92957746479</v>
      </c>
      <c r="F16" s="364">
        <f>+Citizens!A18</f>
        <v>37278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-812466.35</v>
      </c>
      <c r="C17" s="393">
        <f>SUBTOTAL(9,C12:C16)</f>
        <v>-381439.60093896714</v>
      </c>
      <c r="D17" s="394">
        <f>SUBTOTAL(9,D12:D16)</f>
        <v>62945</v>
      </c>
      <c r="E17" s="395">
        <f>SUBTOTAL(9,E12:E16)</f>
        <v>-444384.60093896714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14874.32</v>
      </c>
      <c r="C20" s="368">
        <f>+B20/$G$4</f>
        <v>6983.2488262910801</v>
      </c>
      <c r="D20" s="14">
        <f>+transcol!D50</f>
        <v>-48818</v>
      </c>
      <c r="E20" s="70">
        <f>+C20-D20</f>
        <v>55801.248826291077</v>
      </c>
      <c r="F20" s="365">
        <f>+transcol!A43</f>
        <v>37278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7" t="s">
        <v>312</v>
      </c>
      <c r="B21" s="481">
        <f>+C21*G3</f>
        <v>65837.100000000006</v>
      </c>
      <c r="C21" s="368">
        <f>+williams!J40</f>
        <v>31351</v>
      </c>
      <c r="D21" s="14">
        <f>+C21</f>
        <v>31351</v>
      </c>
      <c r="E21" s="70">
        <f>+C21-D21</f>
        <v>0</v>
      </c>
      <c r="F21" s="365">
        <f>+williams!A40</f>
        <v>37278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5">
      <c r="A22" s="507" t="s">
        <v>95</v>
      </c>
      <c r="B22" s="498">
        <f>+burlington!D42</f>
        <v>-12366.36</v>
      </c>
      <c r="C22" s="372">
        <f>+B22/$G$3</f>
        <v>-5888.7428571428572</v>
      </c>
      <c r="D22" s="350">
        <f>+burlington!D49</f>
        <v>-8142</v>
      </c>
      <c r="E22" s="72">
        <f>+C22-D22</f>
        <v>2253.2571428571428</v>
      </c>
      <c r="F22" s="364">
        <f>+burlington!A42</f>
        <v>37278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68345.060000000012</v>
      </c>
      <c r="C23" s="389">
        <f>SUBTOTAL(9,C20:C22)</f>
        <v>32445.50596914822</v>
      </c>
      <c r="D23" s="394">
        <f>SUBTOTAL(9,D20:D22)</f>
        <v>-25609</v>
      </c>
      <c r="E23" s="395">
        <f>SUBTOTAL(9,E20:E22)</f>
        <v>58054.505969148217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7" t="s">
        <v>87</v>
      </c>
      <c r="B26" s="480">
        <f>+NNG!$D$24</f>
        <v>24134.670000000002</v>
      </c>
      <c r="C26" s="368">
        <f>+B26/$G$4</f>
        <v>11330.830985915494</v>
      </c>
      <c r="D26" s="14">
        <f>+NNG!D34</f>
        <v>10199</v>
      </c>
      <c r="E26" s="70">
        <f t="shared" ref="E26:E50" si="0">+C26-D26</f>
        <v>1131.8309859154942</v>
      </c>
      <c r="F26" s="364">
        <f>+NNG!A24</f>
        <v>37278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456200.77</v>
      </c>
      <c r="C27" s="368">
        <f>+B27/$G$4</f>
        <v>214178.76525821598</v>
      </c>
      <c r="D27" s="14">
        <f>+Conoco!D48</f>
        <v>15983</v>
      </c>
      <c r="E27" s="70">
        <f t="shared" si="0"/>
        <v>198195.76525821598</v>
      </c>
      <c r="F27" s="364">
        <f>+Conoco!A41</f>
        <v>37278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169772</v>
      </c>
      <c r="C28" s="368">
        <f>+B28/$G$4</f>
        <v>79705.164319248826</v>
      </c>
      <c r="D28" s="14">
        <f>+'Amoco Abo'!D49</f>
        <v>-359810</v>
      </c>
      <c r="E28" s="70">
        <f t="shared" si="0"/>
        <v>439515.16431924881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302284.83</v>
      </c>
      <c r="C29" s="368">
        <f>+B29/$G$4</f>
        <v>141917.76056338029</v>
      </c>
      <c r="D29" s="14">
        <f>+KN_Westar!D48</f>
        <v>-49188</v>
      </c>
      <c r="E29" s="70">
        <f t="shared" si="0"/>
        <v>191105.76056338029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7" t="s">
        <v>256</v>
      </c>
      <c r="B30" s="480">
        <f>+summary!B9</f>
        <v>1224696.8</v>
      </c>
      <c r="C30" s="369">
        <f>+B30/$G$5</f>
        <v>572288.22429906542</v>
      </c>
      <c r="D30" s="14">
        <f>+Duke!$G$40+Duke!$H$40+Duke!$I$53+Duke!$I$54</f>
        <v>364815</v>
      </c>
      <c r="E30" s="70">
        <f t="shared" si="0"/>
        <v>207473.22429906542</v>
      </c>
      <c r="F30" s="365">
        <f>+Duke!A42</f>
        <v>37278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07" t="s">
        <v>249</v>
      </c>
      <c r="B31" s="480">
        <f>+summary!B8</f>
        <v>1526533.74</v>
      </c>
      <c r="C31" s="369">
        <f>+B31/$G$5</f>
        <v>713333.52336448594</v>
      </c>
      <c r="D31" s="14">
        <f>+Duke!$F$40</f>
        <v>376349</v>
      </c>
      <c r="E31" s="70">
        <f t="shared" si="0"/>
        <v>336984.52336448594</v>
      </c>
      <c r="F31" s="365">
        <f>+Duke!A7</f>
        <v>37278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07" t="s">
        <v>248</v>
      </c>
      <c r="B32" s="480">
        <f>+summary!B42</f>
        <v>-2800636.2600000002</v>
      </c>
      <c r="C32" s="369">
        <f>+B32/$G$5</f>
        <v>-1308708.5327102805</v>
      </c>
      <c r="D32" s="14">
        <f>+DEFS!$I$36+DEFS!$J$36+DEFS!$K$45+DEFS!$K$46+DEFS!$K$47+DEFS!$K$48</f>
        <v>-435738</v>
      </c>
      <c r="E32" s="70">
        <f t="shared" si="0"/>
        <v>-872970.5327102805</v>
      </c>
      <c r="F32" s="365">
        <f>+DEFS!A40</f>
        <v>37278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0">
        <f>+mewborne!$J$43</f>
        <v>373024.39999999997</v>
      </c>
      <c r="C33" s="368">
        <f>+B33/$G$4</f>
        <v>175128.82629107981</v>
      </c>
      <c r="D33" s="14">
        <f>+mewborne!D49</f>
        <v>151064</v>
      </c>
      <c r="E33" s="70">
        <f t="shared" si="0"/>
        <v>24064.826291079808</v>
      </c>
      <c r="F33" s="365">
        <f>+mewborne!A43</f>
        <v>37278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0">
        <f>+PGETX!$H$39</f>
        <v>-36638.15</v>
      </c>
      <c r="C34" s="368">
        <f>+B34/$G$4</f>
        <v>-17201.009389671362</v>
      </c>
      <c r="D34" s="14">
        <f>+PGETX!E48</f>
        <v>9761</v>
      </c>
      <c r="E34" s="70">
        <f t="shared" si="0"/>
        <v>-26962.009389671362</v>
      </c>
      <c r="F34" s="365">
        <f>+PGETX!E39</f>
        <v>37278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46">
        <f>+PNM!$D$23</f>
        <v>748862.57</v>
      </c>
      <c r="C35" s="368">
        <f>+B35/$G$4</f>
        <v>351578.67136150232</v>
      </c>
      <c r="D35" s="14">
        <f>+PNM!D30</f>
        <v>298847</v>
      </c>
      <c r="E35" s="70">
        <f t="shared" si="0"/>
        <v>52731.671361502318</v>
      </c>
      <c r="F35" s="365">
        <f>+PNM!A23</f>
        <v>37278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0">
        <f>+EOG!J41</f>
        <v>49029.78</v>
      </c>
      <c r="C36" s="368">
        <f>+B36/$G$4</f>
        <v>23018.67605633803</v>
      </c>
      <c r="D36" s="14">
        <f>+EOG!D48</f>
        <v>-104649</v>
      </c>
      <c r="E36" s="70">
        <f t="shared" si="0"/>
        <v>127667.67605633804</v>
      </c>
      <c r="F36" s="364">
        <f>+EOG!A41</f>
        <v>37278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46">
        <f>+Oasis!D40</f>
        <v>-7041.3900000000031</v>
      </c>
      <c r="C37" s="368">
        <f>+B37/G5</f>
        <v>-3290.3691588785059</v>
      </c>
      <c r="D37" s="14">
        <f>+Oasis!D47</f>
        <v>-5836</v>
      </c>
      <c r="E37" s="70">
        <f>+C37-D37</f>
        <v>2545.6308411214941</v>
      </c>
      <c r="F37" s="364">
        <f>+Oasis!A40</f>
        <v>37278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0">
        <f>+SidR!D41</f>
        <v>43695.170000000006</v>
      </c>
      <c r="C38" s="368">
        <f>+B38/$G$5</f>
        <v>20418.303738317758</v>
      </c>
      <c r="D38" s="14">
        <f>+SidR!D48</f>
        <v>20639</v>
      </c>
      <c r="E38" s="70">
        <f t="shared" si="0"/>
        <v>-220.69626168224204</v>
      </c>
      <c r="F38" s="365">
        <f>+SidR!A41</f>
        <v>37278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07" t="s">
        <v>260</v>
      </c>
      <c r="B39" s="346">
        <f>+summary!$B$45</f>
        <v>-203736.06</v>
      </c>
      <c r="C39" s="368">
        <f>+summary!$C$45</f>
        <v>-95203.766355140178</v>
      </c>
      <c r="D39" s="14">
        <f>+MiVida_Rich!D48</f>
        <v>-51454</v>
      </c>
      <c r="E39" s="70">
        <f>+C39-D39</f>
        <v>-43749.766355140178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46">
        <f>+Dominion!D41</f>
        <v>176004.38</v>
      </c>
      <c r="C40" s="368">
        <f>+B40/$G$5</f>
        <v>82245.037383177565</v>
      </c>
      <c r="D40" s="14">
        <f>+Dominion!D48</f>
        <v>77123</v>
      </c>
      <c r="E40" s="70">
        <f t="shared" si="0"/>
        <v>5122.0373831775651</v>
      </c>
      <c r="F40" s="365">
        <f>+Dominion!A41</f>
        <v>37278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46">
        <f>+WTGmktg!J43</f>
        <v>-35657.480000000003</v>
      </c>
      <c r="C41" s="368">
        <f>+B41/$G$4</f>
        <v>-16740.600938967138</v>
      </c>
      <c r="D41" s="14">
        <f>+WTGmktg!D50</f>
        <v>-3489</v>
      </c>
      <c r="E41" s="70">
        <f t="shared" si="0"/>
        <v>-13251.600938967138</v>
      </c>
      <c r="F41" s="365">
        <f>+WTGmktg!A43</f>
        <v>37278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302</v>
      </c>
      <c r="B42" s="346">
        <f>+'WTG inc'!N43</f>
        <v>37618.410000000003</v>
      </c>
      <c r="C42" s="368">
        <f>+B42/G4</f>
        <v>17661.225352112677</v>
      </c>
      <c r="D42" s="14">
        <f>+'WTG inc'!D50</f>
        <v>14465</v>
      </c>
      <c r="E42" s="70">
        <f>+C42-D42</f>
        <v>3196.2253521126768</v>
      </c>
      <c r="F42" s="365">
        <f>+'WTG inc'!A43</f>
        <v>37278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46">
        <f>+Devon!D41</f>
        <v>153220.41</v>
      </c>
      <c r="C43" s="368">
        <f>+B43/$G$5</f>
        <v>71598.322429906533</v>
      </c>
      <c r="D43" s="14">
        <f>+Devon!D48</f>
        <v>30199</v>
      </c>
      <c r="E43" s="70">
        <f t="shared" si="0"/>
        <v>41399.322429906533</v>
      </c>
      <c r="F43" s="365">
        <f>+Devon!A41</f>
        <v>37278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46">
        <f>+crosstex!F41</f>
        <v>-102991.62</v>
      </c>
      <c r="C44" s="368">
        <f>+B44/$G$4</f>
        <v>-48352.873239436623</v>
      </c>
      <c r="D44" s="14">
        <f>+crosstex!D48</f>
        <v>-29138</v>
      </c>
      <c r="E44" s="70">
        <f t="shared" si="0"/>
        <v>-19214.873239436623</v>
      </c>
      <c r="F44" s="365">
        <f>+crosstex!A41</f>
        <v>37278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46">
        <f>+Amarillo!P41</f>
        <v>92061.75</v>
      </c>
      <c r="C45" s="368">
        <f>+B45/$G$4</f>
        <v>43221.478873239437</v>
      </c>
      <c r="D45" s="14">
        <f>+Amarillo!D48</f>
        <v>38165</v>
      </c>
      <c r="E45" s="70">
        <f t="shared" si="0"/>
        <v>5056.4788732394372</v>
      </c>
      <c r="F45" s="365">
        <f>+Amarillo!A41</f>
        <v>37278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318</v>
      </c>
      <c r="B46" s="346">
        <f>+Stratland!$D$41</f>
        <v>42585.15</v>
      </c>
      <c r="C46" s="369">
        <f>+B46/$G$4</f>
        <v>19993.028169014087</v>
      </c>
      <c r="D46" s="14">
        <f>+Stratland!D48</f>
        <v>14572</v>
      </c>
      <c r="E46" s="70">
        <f>+C46-D46</f>
        <v>5421.0281690140873</v>
      </c>
      <c r="F46" s="364">
        <f>+Stratland!A41</f>
        <v>37257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330</v>
      </c>
      <c r="B47" s="346">
        <f>+Plains!$N$43</f>
        <v>107948.28</v>
      </c>
      <c r="C47" s="369">
        <f>+B47/$G$4</f>
        <v>50679.943661971833</v>
      </c>
      <c r="D47" s="14">
        <f>+Plains!D50</f>
        <v>36315</v>
      </c>
      <c r="E47" s="70">
        <f>+C47-D47</f>
        <v>14364.943661971833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46">
        <f>+Continental!F43</f>
        <v>73028</v>
      </c>
      <c r="C48" s="369">
        <f>+B48/$G$4</f>
        <v>34285.446009389671</v>
      </c>
      <c r="D48" s="14">
        <f>+Continental!D50</f>
        <v>18948</v>
      </c>
      <c r="E48" s="70">
        <f t="shared" si="0"/>
        <v>15337.446009389671</v>
      </c>
      <c r="F48" s="365">
        <f>+Continental!A43</f>
        <v>37278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46">
        <f>+EPFS!D41</f>
        <v>75964.709999999992</v>
      </c>
      <c r="C49" s="369">
        <f>+B49/$G$5</f>
        <v>35497.52803738317</v>
      </c>
      <c r="D49" s="14">
        <f>+EPFS!D47</f>
        <v>50358</v>
      </c>
      <c r="E49" s="70">
        <f t="shared" si="0"/>
        <v>-14860.47196261683</v>
      </c>
      <c r="F49" s="364">
        <f>+EPFS!A41</f>
        <v>37278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07" t="s">
        <v>79</v>
      </c>
      <c r="B50" s="498">
        <f>+Agave!$D$24</f>
        <v>-142360.74</v>
      </c>
      <c r="C50" s="370">
        <f>+B50/$G$4</f>
        <v>-66836.028169014084</v>
      </c>
      <c r="D50" s="350">
        <f>+Agave!D31</f>
        <v>-53794</v>
      </c>
      <c r="E50" s="72">
        <f t="shared" si="0"/>
        <v>-13042.028169014084</v>
      </c>
      <c r="F50" s="364">
        <f>+Agave!A24</f>
        <v>37278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88">
        <f>SUBTOTAL(9,B26:B50)</f>
        <v>2347604.1199999992</v>
      </c>
      <c r="C51" s="393">
        <f>SUBTOTAL(9,C26:C50)</f>
        <v>1101747.5761923571</v>
      </c>
      <c r="D51" s="394">
        <f>SUBTOTAL(9,D26:D50)</f>
        <v>434706</v>
      </c>
      <c r="E51" s="395">
        <f>SUBTOTAL(9,E26:E50)</f>
        <v>667041.57619235711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88">
        <f>SUBTOTAL(9,B12:B50)</f>
        <v>1603482.8299999991</v>
      </c>
      <c r="C53" s="393">
        <f>SUBTOTAL(9,C12:C50)</f>
        <v>752753.48122253781</v>
      </c>
      <c r="D53" s="394">
        <f>SUBTOTAL(9,D12:D50)</f>
        <v>472042</v>
      </c>
      <c r="E53" s="395">
        <f>SUBTOTAL(9,E12:E50)</f>
        <v>280711.4812225374</v>
      </c>
      <c r="F53" s="364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5">
      <c r="D59" s="7"/>
      <c r="F59" s="384" t="s">
        <v>29</v>
      </c>
      <c r="G59" s="387">
        <f>+G3</f>
        <v>2.1</v>
      </c>
      <c r="H59" s="402">
        <f ca="1">NOW()</f>
        <v>37280.633351851851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85" t="s">
        <v>30</v>
      </c>
      <c r="G60" s="387">
        <f>+G4</f>
        <v>2.13</v>
      </c>
      <c r="H60" s="32"/>
    </row>
    <row r="61" spans="1:19" ht="13.5" customHeight="1" outlineLevel="1" x14ac:dyDescent="0.25">
      <c r="D61" s="7"/>
      <c r="F61" s="384" t="s">
        <v>117</v>
      </c>
      <c r="G61" s="387">
        <f>+G5</f>
        <v>2.14</v>
      </c>
      <c r="H61" s="32"/>
    </row>
    <row r="62" spans="1:19" ht="13.5" customHeight="1" outlineLevel="2" x14ac:dyDescent="0.25"/>
    <row r="63" spans="1:19" ht="13.5" customHeight="1" outlineLevel="2" x14ac:dyDescent="0.25">
      <c r="A63" s="400" t="s">
        <v>164</v>
      </c>
      <c r="B63" s="401"/>
      <c r="E63" s="12" t="s">
        <v>197</v>
      </c>
    </row>
    <row r="64" spans="1:19" ht="13.5" customHeight="1" outlineLevel="2" x14ac:dyDescent="0.25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66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09">
        <f>+Mojave!D40</f>
        <v>196707</v>
      </c>
      <c r="C68" s="346">
        <f>+B68*$G$4</f>
        <v>418985.91</v>
      </c>
      <c r="D68" s="47">
        <f>+Mojave!D47</f>
        <v>220865.91999999998</v>
      </c>
      <c r="E68" s="47">
        <f>+C68-D68</f>
        <v>198119.99</v>
      </c>
      <c r="F68" s="365">
        <f>+Mojave!A40</f>
        <v>37278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69">
        <f>+SoCal!F40</f>
        <v>81852</v>
      </c>
      <c r="C69" s="346">
        <f>+B69*$G$4</f>
        <v>174344.75999999998</v>
      </c>
      <c r="D69" s="47">
        <f>+SoCal!D47</f>
        <v>283847.16000000003</v>
      </c>
      <c r="E69" s="47">
        <f>+C69-D69</f>
        <v>-109502.40000000005</v>
      </c>
      <c r="F69" s="365">
        <f>+SoCal!A40</f>
        <v>37278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68">
        <f>+'El Paso'!C39</f>
        <v>64269</v>
      </c>
      <c r="C70" s="346">
        <f>+B70*$G$4</f>
        <v>136892.97</v>
      </c>
      <c r="D70" s="47">
        <f>+'El Paso'!C46</f>
        <v>-1582961.01</v>
      </c>
      <c r="E70" s="47">
        <f>+C70-D70</f>
        <v>1719853.98</v>
      </c>
      <c r="F70" s="365">
        <f>+'El Paso'!A39</f>
        <v>37278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0">
        <f>+'PG&amp;E'!D40</f>
        <v>23974</v>
      </c>
      <c r="C71" s="349">
        <f>+B71*$G$4</f>
        <v>51064.619999999995</v>
      </c>
      <c r="D71" s="349">
        <f>+'PG&amp;E'!D47</f>
        <v>-155299.76</v>
      </c>
      <c r="E71" s="349">
        <f>+C71-D71</f>
        <v>206364.38</v>
      </c>
      <c r="F71" s="365">
        <f>+'PG&amp;E'!A40</f>
        <v>37278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3">
        <f>SUBTOTAL(9,B68:B71)</f>
        <v>366802</v>
      </c>
      <c r="C72" s="388">
        <f>SUBTOTAL(9,C68:C71)</f>
        <v>781288.25999999989</v>
      </c>
      <c r="D72" s="388">
        <f>SUBTOTAL(9,D68:D71)</f>
        <v>-1233547.69</v>
      </c>
      <c r="E72" s="388">
        <f>SUBTOTAL(9,E68:E71)</f>
        <v>2014835.9499999997</v>
      </c>
      <c r="F72" s="365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66" t="s">
        <v>57</v>
      </c>
      <c r="B74" s="286"/>
      <c r="C74" s="247"/>
      <c r="G74" s="203"/>
    </row>
    <row r="75" spans="1:19" x14ac:dyDescent="0.25">
      <c r="A75" s="248" t="s">
        <v>23</v>
      </c>
      <c r="B75" s="368">
        <f>+'Red C'!F45</f>
        <v>19796</v>
      </c>
      <c r="C75" s="347">
        <f>+B75*G59</f>
        <v>41571.599999999999</v>
      </c>
      <c r="D75" s="200">
        <f>+'Red C'!D52</f>
        <v>412657.28</v>
      </c>
      <c r="E75" s="47">
        <f>+C75-D75</f>
        <v>-371085.68000000005</v>
      </c>
      <c r="F75" s="364">
        <f>+'Red C'!A45</f>
        <v>37278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311</v>
      </c>
      <c r="B76" s="368">
        <f>+Amoco!D40</f>
        <v>9900</v>
      </c>
      <c r="C76" s="346">
        <f>+B76*$G$3</f>
        <v>20790</v>
      </c>
      <c r="D76" s="47">
        <f>+Amoco!D47</f>
        <v>356813</v>
      </c>
      <c r="E76" s="47">
        <f>+C76-D76</f>
        <v>-336023</v>
      </c>
      <c r="F76" s="365">
        <f>+Amoco!A40</f>
        <v>37278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68">
        <f>+'El Paso'!E39</f>
        <v>-59970</v>
      </c>
      <c r="C77" s="346">
        <f>+B77*$G$3</f>
        <v>-125937</v>
      </c>
      <c r="D77" s="47">
        <f>+'El Paso'!F46</f>
        <v>-657254.01</v>
      </c>
      <c r="E77" s="47">
        <f>+C77-D77</f>
        <v>531317.01</v>
      </c>
      <c r="F77" s="365">
        <f>+'El Paso'!A39</f>
        <v>37278</v>
      </c>
      <c r="G77" s="420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0">
        <f>+NW!$F$41</f>
        <v>-20892</v>
      </c>
      <c r="C78" s="349">
        <f>+B78*$G$3</f>
        <v>-43873.200000000004</v>
      </c>
      <c r="D78" s="349">
        <f>+NW!E49</f>
        <v>-504464.3</v>
      </c>
      <c r="E78" s="349">
        <f>+C78-D78</f>
        <v>460591.1</v>
      </c>
      <c r="F78" s="364">
        <f>+NW!B41</f>
        <v>37278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3">
        <f>SUBTOTAL(9,B75:B78)</f>
        <v>-51166</v>
      </c>
      <c r="C79" s="388">
        <f>SUBTOTAL(9,C75:C78)</f>
        <v>-107448.6</v>
      </c>
      <c r="D79" s="388">
        <f>SUBTOTAL(9,D75:D78)</f>
        <v>-392248.02999999997</v>
      </c>
      <c r="E79" s="388">
        <f>SUBTOTAL(9,E75:E78)</f>
        <v>284799.42999999993</v>
      </c>
      <c r="F79" s="364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66" t="s">
        <v>159</v>
      </c>
      <c r="B81" s="286"/>
      <c r="C81" s="247"/>
      <c r="G81" s="203"/>
    </row>
    <row r="82" spans="1:12" x14ac:dyDescent="0.25">
      <c r="A82" s="248" t="s">
        <v>88</v>
      </c>
      <c r="B82" s="368">
        <f>+NGPL!F38</f>
        <v>135297</v>
      </c>
      <c r="C82" s="480">
        <f>+B82*$G$5</f>
        <v>289535.58</v>
      </c>
      <c r="D82" s="47">
        <f>+NGPL!D45</f>
        <v>339095.28</v>
      </c>
      <c r="E82" s="47">
        <f>+C82-D82</f>
        <v>-49559.700000000012</v>
      </c>
      <c r="F82" s="365">
        <f>+NGPL!A38</f>
        <v>37278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68">
        <f>+PEPL!D41</f>
        <v>-14854</v>
      </c>
      <c r="C83" s="481">
        <f>+B83*$G$4</f>
        <v>-31639.019999999997</v>
      </c>
      <c r="D83" s="47">
        <f>+PEPL!D47</f>
        <v>162086.93</v>
      </c>
      <c r="E83" s="47">
        <f>+C83-D83</f>
        <v>-193725.94999999998</v>
      </c>
      <c r="F83" s="365">
        <f>+PEPL!A41</f>
        <v>37278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1">
        <f>+B84*$G$4</f>
        <v>37460.31</v>
      </c>
      <c r="D84" s="200">
        <f>+CIG!D49</f>
        <v>385959.67</v>
      </c>
      <c r="E84" s="70">
        <f>+C84-D84</f>
        <v>-348499.36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2">
        <f>+Lonestar!F43</f>
        <v>31643.100000000002</v>
      </c>
      <c r="C85" s="498">
        <f>+B85*G61</f>
        <v>67716.234000000011</v>
      </c>
      <c r="D85" s="349">
        <f>+Lonestar!D50</f>
        <v>30208.240000000002</v>
      </c>
      <c r="E85" s="349">
        <f>+C85-D85</f>
        <v>37507.994000000006</v>
      </c>
      <c r="F85" s="364">
        <f>+Lonestar!A43</f>
        <v>37278</v>
      </c>
      <c r="G85" s="32" t="s">
        <v>324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89">
        <f>SUBTOTAL(9,B82:B85)</f>
        <v>169673.1</v>
      </c>
      <c r="C86" s="388">
        <f>SUBTOTAL(9,C82:C85)</f>
        <v>363073.10399999999</v>
      </c>
      <c r="D86" s="388">
        <f>SUBTOTAL(9,D82:D85)</f>
        <v>917350.12</v>
      </c>
      <c r="E86" s="388">
        <f>SUBTOTAL(9,E82:E85)</f>
        <v>-554277.01600000006</v>
      </c>
      <c r="F86" s="364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89">
        <f>SUBTOTAL(9,B68:B85)</f>
        <v>485309.1</v>
      </c>
      <c r="C88" s="388">
        <f>SUBTOTAL(9,C68:C85)</f>
        <v>1036912.7640000001</v>
      </c>
      <c r="D88" s="388">
        <f>SUBTOTAL(9,D68:D85)</f>
        <v>-708445.60000000009</v>
      </c>
      <c r="E88" s="388">
        <f>SUBTOTAL(9,E68:E85)</f>
        <v>1745358.3639999991</v>
      </c>
      <c r="F88" s="364"/>
      <c r="H88" s="32"/>
      <c r="I88" s="32"/>
      <c r="J88" s="32"/>
      <c r="K88" s="32"/>
    </row>
    <row r="89" spans="1:12" x14ac:dyDescent="0.25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5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396">
        <f>+C88+B53</f>
        <v>2640395.5939999991</v>
      </c>
      <c r="C91" s="206"/>
      <c r="D91" s="346"/>
      <c r="E91" s="346"/>
      <c r="F91" s="353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1238062.5812225379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5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1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49" sqref="C49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>
        <v>154065</v>
      </c>
      <c r="C27" s="437">
        <v>152079</v>
      </c>
      <c r="D27" s="484">
        <f t="shared" si="0"/>
        <v>-1986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3351897</v>
      </c>
      <c r="C37" s="411">
        <f>SUM(C6:C36)</f>
        <v>3392007</v>
      </c>
      <c r="D37" s="411">
        <f>SUM(D6:D36)</f>
        <v>40110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37278</v>
      </c>
      <c r="B40" s="285"/>
      <c r="C40" s="436"/>
      <c r="D40" s="307">
        <f>+D39+D37</f>
        <v>9900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5">
      <c r="A46" s="49">
        <f>+A40</f>
        <v>37278</v>
      </c>
      <c r="B46" s="32"/>
      <c r="C46" s="32"/>
      <c r="D46" s="375">
        <f>+D37*'by type_area'!G3</f>
        <v>84231</v>
      </c>
      <c r="H46">
        <v>500</v>
      </c>
    </row>
    <row r="47" spans="1:16" x14ac:dyDescent="0.25">
      <c r="A47" s="32"/>
      <c r="B47" s="32"/>
      <c r="C47" s="32"/>
      <c r="D47" s="200">
        <f>+D46+D45</f>
        <v>356813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4" workbookViewId="0">
      <selection activeCell="C27" sqref="C27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-891888</v>
      </c>
      <c r="C36" s="24">
        <f>SUM(C5:C35)</f>
        <v>-879645</v>
      </c>
      <c r="D36" s="24">
        <f t="shared" si="0"/>
        <v>12243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2.14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26200.02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37278</v>
      </c>
      <c r="B40"/>
      <c r="C40" s="48"/>
      <c r="D40" s="138">
        <f>+D39+D38</f>
        <v>-7041.3900000000031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37256</v>
      </c>
      <c r="B45" s="32"/>
      <c r="C45" s="32"/>
      <c r="D45" s="524">
        <v>-18079</v>
      </c>
    </row>
    <row r="46" spans="1:65" x14ac:dyDescent="0.25">
      <c r="A46" s="49">
        <f>+A40</f>
        <v>37278</v>
      </c>
      <c r="B46" s="32"/>
      <c r="C46" s="32"/>
      <c r="D46" s="350">
        <f>+D36</f>
        <v>12243</v>
      </c>
    </row>
    <row r="47" spans="1:65" x14ac:dyDescent="0.25">
      <c r="A47" s="32"/>
      <c r="B47" s="32"/>
      <c r="C47" s="32"/>
      <c r="D47" s="14">
        <f>+D46+D45</f>
        <v>-5836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7" sqref="C7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699088</v>
      </c>
      <c r="C5" s="90">
        <v>690349</v>
      </c>
      <c r="D5" s="90">
        <f>+C5-B5</f>
        <v>-8739</v>
      </c>
      <c r="E5" s="275"/>
      <c r="F5" s="273"/>
    </row>
    <row r="6" spans="1:13" x14ac:dyDescent="0.25">
      <c r="A6" s="87">
        <v>78311</v>
      </c>
      <c r="B6" s="90">
        <v>267346</v>
      </c>
      <c r="C6" s="90">
        <v>249452</v>
      </c>
      <c r="D6" s="90">
        <f t="shared" ref="D6:D17" si="0">+C6-B6</f>
        <v>-17894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602841</v>
      </c>
      <c r="C7" s="90">
        <v>621566</v>
      </c>
      <c r="D7" s="90">
        <f t="shared" si="0"/>
        <v>18725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677794</v>
      </c>
      <c r="C8" s="90">
        <v>572127</v>
      </c>
      <c r="D8" s="90">
        <f t="shared" si="0"/>
        <v>-105667</v>
      </c>
      <c r="E8" s="456"/>
      <c r="F8" s="273"/>
    </row>
    <row r="9" spans="1:13" x14ac:dyDescent="0.25">
      <c r="A9" s="87">
        <v>500293</v>
      </c>
      <c r="B9" s="90">
        <v>400002</v>
      </c>
      <c r="C9" s="90">
        <v>438931</v>
      </c>
      <c r="D9" s="90">
        <f t="shared" si="0"/>
        <v>38929</v>
      </c>
      <c r="E9" s="275"/>
      <c r="F9" s="273"/>
    </row>
    <row r="10" spans="1:13" x14ac:dyDescent="0.25">
      <c r="A10" s="87">
        <v>500302</v>
      </c>
      <c r="B10" s="90"/>
      <c r="C10" s="90">
        <v>6456</v>
      </c>
      <c r="D10" s="90">
        <f t="shared" si="0"/>
        <v>6456</v>
      </c>
      <c r="E10" s="275"/>
      <c r="F10" s="273"/>
    </row>
    <row r="11" spans="1:13" x14ac:dyDescent="0.25">
      <c r="A11" s="87">
        <v>500303</v>
      </c>
      <c r="B11" s="90"/>
      <c r="C11" s="90">
        <v>223445</v>
      </c>
      <c r="D11" s="90">
        <f t="shared" si="0"/>
        <v>223445</v>
      </c>
      <c r="E11" s="275"/>
      <c r="F11" s="273"/>
    </row>
    <row r="12" spans="1:13" x14ac:dyDescent="0.25">
      <c r="A12" s="91">
        <v>500305</v>
      </c>
      <c r="B12" s="90">
        <v>1131984</v>
      </c>
      <c r="C12" s="90">
        <v>1059524</v>
      </c>
      <c r="D12" s="90">
        <f t="shared" si="0"/>
        <v>-72460</v>
      </c>
      <c r="E12" s="276"/>
      <c r="F12" s="273"/>
    </row>
    <row r="13" spans="1:13" x14ac:dyDescent="0.25">
      <c r="A13" s="87">
        <v>500307</v>
      </c>
      <c r="B13" s="90">
        <v>66370</v>
      </c>
      <c r="C13" s="90">
        <v>29792</v>
      </c>
      <c r="D13" s="90">
        <f t="shared" si="0"/>
        <v>-36578</v>
      </c>
      <c r="E13" s="275"/>
      <c r="F13" s="273"/>
    </row>
    <row r="14" spans="1:13" x14ac:dyDescent="0.25">
      <c r="A14" s="87">
        <v>500313</v>
      </c>
      <c r="B14" s="90"/>
      <c r="C14" s="90">
        <v>1414</v>
      </c>
      <c r="D14" s="90">
        <f t="shared" si="0"/>
        <v>1414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165454</v>
      </c>
      <c r="C16" s="90"/>
      <c r="D16" s="90">
        <f t="shared" si="0"/>
        <v>-165454</v>
      </c>
      <c r="E16" s="275"/>
      <c r="F16" s="273"/>
    </row>
    <row r="17" spans="1:6" x14ac:dyDescent="0.25">
      <c r="A17" s="87">
        <v>500657</v>
      </c>
      <c r="B17" s="88">
        <v>121665</v>
      </c>
      <c r="C17" s="88">
        <v>153988</v>
      </c>
      <c r="D17" s="94">
        <f t="shared" si="0"/>
        <v>32323</v>
      </c>
      <c r="E17" s="275"/>
      <c r="F17" s="273"/>
    </row>
    <row r="18" spans="1:6" x14ac:dyDescent="0.25">
      <c r="A18" s="87"/>
      <c r="B18" s="88"/>
      <c r="C18" s="88"/>
      <c r="D18" s="88">
        <f>SUM(D5:D17)</f>
        <v>-85500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+summary!G5</f>
        <v>2.14</v>
      </c>
      <c r="E19" s="277"/>
      <c r="F19" s="273"/>
    </row>
    <row r="20" spans="1:6" x14ac:dyDescent="0.25">
      <c r="A20" s="87"/>
      <c r="B20" s="88"/>
      <c r="C20" s="88"/>
      <c r="D20" s="96">
        <f>+D19*D18</f>
        <v>-182970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30">
        <v>40609.26</v>
      </c>
      <c r="E22" s="207"/>
      <c r="F22" s="66"/>
    </row>
    <row r="23" spans="1:6" x14ac:dyDescent="0.25">
      <c r="A23" s="87"/>
      <c r="B23" s="88"/>
      <c r="C23" s="88"/>
      <c r="D23" s="308"/>
      <c r="E23" s="207"/>
      <c r="F23" s="66"/>
    </row>
    <row r="24" spans="1:6" ht="13.8" thickBot="1" x14ac:dyDescent="0.3">
      <c r="A24" s="99">
        <v>37278</v>
      </c>
      <c r="B24" s="88"/>
      <c r="C24" s="88"/>
      <c r="D24" s="318">
        <f>+D22+D20</f>
        <v>-142360.74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5"/>
    </row>
    <row r="29" spans="1:6" x14ac:dyDescent="0.25">
      <c r="A29" s="49">
        <f>+A22</f>
        <v>37256</v>
      </c>
      <c r="B29" s="32"/>
      <c r="C29" s="32"/>
      <c r="D29" s="524">
        <v>31706</v>
      </c>
    </row>
    <row r="30" spans="1:6" x14ac:dyDescent="0.25">
      <c r="A30" s="49">
        <f>+A24</f>
        <v>37278</v>
      </c>
      <c r="B30" s="32"/>
      <c r="C30" s="32"/>
      <c r="D30" s="350">
        <f>+D18</f>
        <v>-85500</v>
      </c>
    </row>
    <row r="31" spans="1:6" x14ac:dyDescent="0.25">
      <c r="A31" s="32"/>
      <c r="B31" s="32"/>
      <c r="C31" s="32"/>
      <c r="D31" s="14">
        <f>+D30+D29</f>
        <v>-53794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E26" sqref="E2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697570</v>
      </c>
      <c r="C35" s="11">
        <f>SUM(C4:C34)</f>
        <v>713328</v>
      </c>
      <c r="D35" s="11">
        <f>SUM(D4:D34)</f>
        <v>715864</v>
      </c>
      <c r="E35" s="11">
        <f>SUM(E4:E34)</f>
        <v>698122</v>
      </c>
      <c r="F35" s="11">
        <f>+E35-D35+C35-B35</f>
        <v>-1984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2.13</v>
      </c>
    </row>
    <row r="38" spans="1:7" x14ac:dyDescent="0.2">
      <c r="C38" s="48"/>
      <c r="D38" s="47"/>
      <c r="E38" s="48"/>
      <c r="F38" s="46">
        <f>+F37*F35</f>
        <v>-4225.92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37278</v>
      </c>
      <c r="C41" s="106"/>
      <c r="D41" s="106"/>
      <c r="E41" s="106"/>
      <c r="F41" s="106">
        <f>+F38+F40</f>
        <v>456200.77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37278</v>
      </c>
      <c r="D47" s="350">
        <f>+F35</f>
        <v>-1984</v>
      </c>
      <c r="E47" s="11"/>
      <c r="F47" s="11"/>
      <c r="G47" s="25"/>
    </row>
    <row r="48" spans="1:7" x14ac:dyDescent="0.2">
      <c r="D48" s="14">
        <f>+D47+D46</f>
        <v>15983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E26" sqref="E2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3835989</v>
      </c>
      <c r="C36" s="11">
        <f>SUM(C5:C35)</f>
        <v>3854864</v>
      </c>
      <c r="D36" s="11">
        <f>SUM(D5:D35)</f>
        <v>0</v>
      </c>
      <c r="E36" s="11">
        <f>SUM(E5:E35)</f>
        <v>-17378</v>
      </c>
      <c r="F36" s="11">
        <f>SUM(F5:F35)</f>
        <v>1497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37278</v>
      </c>
      <c r="F41" s="333">
        <f>+F39+F36</f>
        <v>-20892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37278</v>
      </c>
      <c r="C48" s="32"/>
      <c r="D48" s="32"/>
      <c r="E48" s="375">
        <f>+F36*'by type_area'!G3</f>
        <v>3143.7000000000003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-504464.3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C30" sqref="C30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5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5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5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5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5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5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5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2074802</v>
      </c>
      <c r="C39" s="11">
        <f>SUM(C8:C38)</f>
        <v>2075766</v>
      </c>
      <c r="D39" s="11">
        <f>SUM(D8:D38)</f>
        <v>964</v>
      </c>
      <c r="E39" s="10"/>
      <c r="F39" s="11"/>
      <c r="G39" s="11"/>
      <c r="H39" s="11"/>
    </row>
    <row r="40" spans="1:8" x14ac:dyDescent="0.25">
      <c r="A40" s="26"/>
      <c r="D40" s="75">
        <f>+summary!G4</f>
        <v>2.13</v>
      </c>
      <c r="E40" s="26"/>
      <c r="H40" s="75"/>
    </row>
    <row r="41" spans="1:8" x14ac:dyDescent="0.25">
      <c r="D41" s="195">
        <f>+D40*D39</f>
        <v>2053.3199999999997</v>
      </c>
      <c r="F41" s="247"/>
      <c r="H41" s="195"/>
    </row>
    <row r="42" spans="1:8" x14ac:dyDescent="0.25">
      <c r="A42" s="57">
        <v>37256</v>
      </c>
      <c r="D42" s="553">
        <v>12821</v>
      </c>
      <c r="E42" s="57"/>
      <c r="H42" s="195"/>
    </row>
    <row r="43" spans="1:8" x14ac:dyDescent="0.25">
      <c r="A43" s="57">
        <v>37278</v>
      </c>
      <c r="D43" s="196">
        <f>+D42+D41</f>
        <v>14874.32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24">
        <v>-49782</v>
      </c>
    </row>
    <row r="49" spans="1:4" x14ac:dyDescent="0.25">
      <c r="A49" s="49">
        <f>+A43</f>
        <v>37278</v>
      </c>
      <c r="B49" s="32"/>
      <c r="C49" s="32"/>
      <c r="D49" s="350">
        <f>+D39</f>
        <v>964</v>
      </c>
    </row>
    <row r="50" spans="1:4" x14ac:dyDescent="0.25">
      <c r="A50" s="32"/>
      <c r="B50" s="32"/>
      <c r="C50" s="32"/>
      <c r="D50" s="14">
        <f>+D49+D48</f>
        <v>-48818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B18" sqref="B18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251</v>
      </c>
      <c r="J6" s="15"/>
    </row>
    <row r="7" spans="1:14" x14ac:dyDescent="0.25">
      <c r="A7" s="57">
        <v>37278</v>
      </c>
      <c r="I7" s="3" t="s">
        <v>258</v>
      </c>
      <c r="J7" s="15"/>
    </row>
    <row r="8" spans="1:14" x14ac:dyDescent="0.25">
      <c r="A8" s="248">
        <v>50895</v>
      </c>
      <c r="B8" s="340">
        <f>5060-4681</f>
        <v>379</v>
      </c>
      <c r="J8" s="15"/>
    </row>
    <row r="9" spans="1:14" x14ac:dyDescent="0.25">
      <c r="A9" s="248">
        <v>60874</v>
      </c>
      <c r="B9" s="340">
        <v>2633</v>
      </c>
      <c r="J9" s="15"/>
    </row>
    <row r="10" spans="1:14" x14ac:dyDescent="0.25">
      <c r="A10" s="248">
        <v>78169</v>
      </c>
      <c r="B10" s="340">
        <f>333760-322053-16676</f>
        <v>-4969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8000-10202</f>
        <v>-2202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3960-2611</f>
        <v>1349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8800-1904</f>
        <v>6896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-127</v>
      </c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>
        <f>1235027-1241199</f>
        <v>-6172</v>
      </c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-2213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2.14</v>
      </c>
      <c r="C19" s="199">
        <f>+B19*B18</f>
        <v>-4735.8200000000006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1526533.74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2.13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5">
      <c r="E39" s="49">
        <f>+A7</f>
        <v>37278</v>
      </c>
      <c r="F39" s="350">
        <f>+B18</f>
        <v>-2213</v>
      </c>
      <c r="G39" s="350">
        <f>+B31</f>
        <v>0</v>
      </c>
      <c r="H39" s="350">
        <f>+B46</f>
        <v>4649</v>
      </c>
      <c r="I39" s="14"/>
    </row>
    <row r="40" spans="1:9" x14ac:dyDescent="0.25">
      <c r="A40" s="49">
        <v>37256</v>
      </c>
      <c r="C40" s="546">
        <v>842376.79</v>
      </c>
      <c r="F40" s="14">
        <f>+F39+F38</f>
        <v>376349</v>
      </c>
      <c r="G40" s="14">
        <f>+G39+G38</f>
        <v>117857</v>
      </c>
      <c r="H40" s="14">
        <f>+H39+H38</f>
        <v>191625</v>
      </c>
      <c r="I40" s="14">
        <f>+H40+G40+F40</f>
        <v>685831</v>
      </c>
    </row>
    <row r="41" spans="1:9" x14ac:dyDescent="0.25">
      <c r="G41" s="32"/>
      <c r="H41" s="15"/>
      <c r="I41" s="32"/>
    </row>
    <row r="42" spans="1:9" x14ac:dyDescent="0.25">
      <c r="A42" s="245">
        <v>37278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2584</v>
      </c>
      <c r="G44" s="32"/>
      <c r="H44" s="381"/>
      <c r="I44" s="14"/>
    </row>
    <row r="45" spans="1:9" x14ac:dyDescent="0.25">
      <c r="A45" s="32">
        <v>500392</v>
      </c>
      <c r="B45" s="250">
        <v>2065</v>
      </c>
      <c r="G45" s="32"/>
      <c r="H45" s="381"/>
      <c r="I45" s="14"/>
    </row>
    <row r="46" spans="1:9" x14ac:dyDescent="0.25">
      <c r="B46" s="14">
        <f>SUM(B43:B45)</f>
        <v>4649</v>
      </c>
      <c r="G46" s="32"/>
      <c r="H46" s="381"/>
      <c r="I46" s="14"/>
    </row>
    <row r="47" spans="1:9" x14ac:dyDescent="0.25">
      <c r="B47" s="199">
        <f>+summary!G5</f>
        <v>2.14</v>
      </c>
      <c r="C47" s="199">
        <f>+B47*B46</f>
        <v>9948.86</v>
      </c>
      <c r="H47" s="381"/>
      <c r="I47" s="14"/>
    </row>
    <row r="48" spans="1:9" x14ac:dyDescent="0.25">
      <c r="C48" s="321">
        <f>+C47+C40</f>
        <v>852325.65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5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2751230.54</v>
      </c>
      <c r="I57" s="14">
        <f>SUM(I40:I54)</f>
        <v>741164</v>
      </c>
    </row>
    <row r="61" spans="1:9" x14ac:dyDescent="0.25">
      <c r="C61" s="15">
        <f>+DEFS!F49</f>
        <v>-2800636.2600000002</v>
      </c>
    </row>
    <row r="62" spans="1:9" x14ac:dyDescent="0.25">
      <c r="C62" s="15">
        <f>+C61+C57</f>
        <v>-49405.720000000205</v>
      </c>
      <c r="I62" s="31">
        <f>+I57+DEFS!K49</f>
        <v>305426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8" workbookViewId="0">
      <selection activeCell="E26" sqref="E26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540209</v>
      </c>
      <c r="E35" s="11">
        <f>SUM(E4:E34)</f>
        <v>527812</v>
      </c>
      <c r="F35" s="11">
        <f>SUM(F4:F34)</f>
        <v>-12397</v>
      </c>
      <c r="G35" s="11"/>
      <c r="H35" s="49">
        <f>+A40</f>
        <v>37278</v>
      </c>
      <c r="I35" s="350">
        <f>+C36</f>
        <v>0</v>
      </c>
      <c r="J35" s="350">
        <f>+E36</f>
        <v>-12397</v>
      </c>
      <c r="K35" s="206"/>
      <c r="L35" s="14"/>
    </row>
    <row r="36" spans="1:13" x14ac:dyDescent="0.25">
      <c r="C36" s="25">
        <f>+C35-B35</f>
        <v>0</v>
      </c>
      <c r="E36" s="25">
        <f>+E35-D35</f>
        <v>-12397</v>
      </c>
      <c r="F36" s="25">
        <f>+E36+C36</f>
        <v>-12397</v>
      </c>
      <c r="H36" s="32"/>
      <c r="I36" s="14">
        <f>+I35+I34</f>
        <v>-183022</v>
      </c>
      <c r="J36" s="14">
        <f>+J35+J34</f>
        <v>-140994</v>
      </c>
      <c r="K36" s="14">
        <f>+J36+I36</f>
        <v>-324016</v>
      </c>
      <c r="L36" s="14"/>
    </row>
    <row r="37" spans="1:13" x14ac:dyDescent="0.25">
      <c r="C37" s="313">
        <f>+summary!G5</f>
        <v>2.14</v>
      </c>
      <c r="E37" s="104">
        <f>+C37</f>
        <v>2.14</v>
      </c>
      <c r="F37" s="138">
        <f>+F36*E37</f>
        <v>-26529.58</v>
      </c>
    </row>
    <row r="38" spans="1:13" x14ac:dyDescent="0.25">
      <c r="C38" s="138">
        <f>+C37*C36</f>
        <v>0</v>
      </c>
      <c r="E38" s="136">
        <f>+E37*E36</f>
        <v>-26529.58</v>
      </c>
      <c r="F38" s="138">
        <f>+E38+C38</f>
        <v>-26529.58</v>
      </c>
    </row>
    <row r="39" spans="1:13" x14ac:dyDescent="0.25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5">
      <c r="A40" s="57">
        <v>37278</v>
      </c>
      <c r="B40" s="2" t="s">
        <v>45</v>
      </c>
      <c r="C40" s="314">
        <f>+C39+C38</f>
        <v>-1033420.01</v>
      </c>
      <c r="D40" s="252"/>
      <c r="E40" s="314">
        <f>+E39+E38</f>
        <v>-598379.91999999993</v>
      </c>
      <c r="F40" s="314">
        <f>+E40+C40</f>
        <v>-1631799.93</v>
      </c>
      <c r="H40" s="131"/>
    </row>
    <row r="41" spans="1:13" x14ac:dyDescent="0.25">
      <c r="C41" s="329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5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5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5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5">
      <c r="C49" s="246"/>
      <c r="D49" s="246"/>
      <c r="F49" s="330">
        <f>SUM(F40:F48)</f>
        <v>-2800636.2600000002</v>
      </c>
      <c r="G49" s="246"/>
      <c r="K49" s="14">
        <f>SUM(K36:K48)</f>
        <v>-435738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2751230.54</v>
      </c>
      <c r="M51" s="14">
        <f>+Duke!I57</f>
        <v>741164</v>
      </c>
    </row>
    <row r="53" spans="3:13" x14ac:dyDescent="0.25">
      <c r="F53" s="104">
        <f>+F51+F49</f>
        <v>-49405.720000000205</v>
      </c>
      <c r="M53" s="16">
        <f>+M51+K49</f>
        <v>305426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-140994</v>
      </c>
      <c r="C74" s="247">
        <f>+E40</f>
        <v>-598379.91999999993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191625</v>
      </c>
      <c r="C77" s="259">
        <f>+Duke!C48</f>
        <v>852325.65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376349</v>
      </c>
      <c r="C79" s="259">
        <f>+Duke!C20</f>
        <v>1526533.74</v>
      </c>
    </row>
    <row r="81" spans="2:3" x14ac:dyDescent="0.25">
      <c r="B81" s="31">
        <f>SUM(B68:B80)</f>
        <v>305426</v>
      </c>
      <c r="C81" s="259">
        <f>SUM(C68:C80)</f>
        <v>-49405.720000000205</v>
      </c>
    </row>
    <row r="82" spans="2:3" x14ac:dyDescent="0.25">
      <c r="C82">
        <f>+C81/B81</f>
        <v>-0.16176003352694338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I30" sqref="I30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121834</v>
      </c>
      <c r="C39" s="11">
        <f t="shared" si="1"/>
        <v>117302</v>
      </c>
      <c r="D39" s="11">
        <f t="shared" si="1"/>
        <v>14062</v>
      </c>
      <c r="E39" s="11">
        <f t="shared" si="1"/>
        <v>12719</v>
      </c>
      <c r="F39" s="129">
        <f t="shared" si="1"/>
        <v>20939</v>
      </c>
      <c r="G39" s="11">
        <f t="shared" si="1"/>
        <v>18974</v>
      </c>
      <c r="H39" s="11">
        <f t="shared" si="1"/>
        <v>32770</v>
      </c>
      <c r="I39" s="11">
        <f t="shared" si="1"/>
        <v>24706</v>
      </c>
      <c r="J39" s="25">
        <f t="shared" si="1"/>
        <v>-15904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2.13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-33875.519999999997</v>
      </c>
      <c r="L41"/>
      <c r="R41" s="138"/>
      <c r="X41" s="138"/>
    </row>
    <row r="42" spans="1:24" x14ac:dyDescent="0.25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37278</v>
      </c>
      <c r="C43" s="48"/>
      <c r="J43" s="138">
        <f>+J42+J41</f>
        <v>373024.39999999997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24">
        <v>166968</v>
      </c>
      <c r="L47"/>
    </row>
    <row r="48" spans="1:24" x14ac:dyDescent="0.25">
      <c r="A48" s="49">
        <f>+A43</f>
        <v>37278</v>
      </c>
      <c r="B48" s="32"/>
      <c r="C48" s="32"/>
      <c r="D48" s="350">
        <f>+J39</f>
        <v>-15904</v>
      </c>
      <c r="L48"/>
    </row>
    <row r="49" spans="1:12" x14ac:dyDescent="0.25">
      <c r="A49" s="32"/>
      <c r="B49" s="32"/>
      <c r="C49" s="32"/>
      <c r="D49" s="14">
        <f>+D48+D47</f>
        <v>151064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2.13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-10417.83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37276</v>
      </c>
      <c r="B43" s="285"/>
      <c r="C43" s="436"/>
      <c r="D43" s="436"/>
      <c r="E43" s="436"/>
      <c r="F43" s="417">
        <f>+F42+F41</f>
        <v>169772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24">
        <v>-354919</v>
      </c>
      <c r="E47" s="11"/>
    </row>
    <row r="48" spans="1:26" x14ac:dyDescent="0.25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5">
      <c r="A49" s="32"/>
      <c r="B49" s="32"/>
      <c r="C49" s="32"/>
      <c r="D49" s="14">
        <f>+D48+D47</f>
        <v>-359810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G19" sqref="G19:G20"/>
    </sheetView>
  </sheetViews>
  <sheetFormatPr defaultColWidth="9.109375" defaultRowHeight="13.2" x14ac:dyDescent="0.25"/>
  <cols>
    <col min="1" max="1" width="25.88671875" style="285" customWidth="1"/>
    <col min="2" max="2" width="11.109375" style="582" bestFit="1" customWidth="1"/>
    <col min="3" max="3" width="9.6640625" style="583" customWidth="1"/>
    <col min="4" max="4" width="5.109375" style="584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6" bestFit="1" customWidth="1"/>
    <col min="15" max="15" width="9" style="587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5"/>
    </row>
    <row r="3" spans="1:33" ht="15" customHeight="1" x14ac:dyDescent="0.25">
      <c r="F3" s="588" t="s">
        <v>29</v>
      </c>
      <c r="G3" s="589">
        <f>+'[3]1001'!$K$39</f>
        <v>2.1</v>
      </c>
      <c r="J3" s="374">
        <f ca="1">NOW()</f>
        <v>37280.633351851851</v>
      </c>
    </row>
    <row r="4" spans="1:33" ht="15" customHeight="1" x14ac:dyDescent="0.25">
      <c r="A4" s="34" t="s">
        <v>145</v>
      </c>
      <c r="C4" s="34" t="s">
        <v>5</v>
      </c>
      <c r="F4" s="590" t="s">
        <v>30</v>
      </c>
      <c r="G4" s="591">
        <f>+'[3]1001'!$M$39</f>
        <v>2.13</v>
      </c>
    </row>
    <row r="5" spans="1:33" ht="15" customHeight="1" x14ac:dyDescent="0.25">
      <c r="B5" s="592"/>
      <c r="F5" s="588" t="s">
        <v>117</v>
      </c>
      <c r="G5" s="589">
        <f>+'[3]1001'!$E$39</f>
        <v>2.14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5">
      <c r="A8" s="204" t="s">
        <v>249</v>
      </c>
      <c r="B8" s="346">
        <f>+Duke!$C$20</f>
        <v>1526533.74</v>
      </c>
      <c r="C8" s="206">
        <f>+B8/$G$5</f>
        <v>713333.52336448594</v>
      </c>
      <c r="D8" s="364">
        <f>+Duke!A7</f>
        <v>37278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204" t="s">
        <v>256</v>
      </c>
      <c r="B9" s="346">
        <f>+Duke!$C$54+Duke!$C$53+Duke!$C$48+Duke!$C$33</f>
        <v>1224696.8</v>
      </c>
      <c r="C9" s="206">
        <f>+B9/$G$5</f>
        <v>572288.22429906542</v>
      </c>
      <c r="D9" s="364">
        <f>+DEFS!A40</f>
        <v>37278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82</v>
      </c>
      <c r="B10" s="346">
        <f>+PNM!$D$23</f>
        <v>748862.57</v>
      </c>
      <c r="C10" s="275">
        <f>+B10/$G$4</f>
        <v>351578.67136150232</v>
      </c>
      <c r="D10" s="365">
        <f>+PNM!A23</f>
        <v>37278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80</v>
      </c>
      <c r="B11" s="346">
        <f>+Conoco!$F$41</f>
        <v>456200.77</v>
      </c>
      <c r="C11" s="275">
        <f>+B11/$G$4</f>
        <v>214178.76525821598</v>
      </c>
      <c r="D11" s="364">
        <f>+Conoco!A41</f>
        <v>37278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6">
        <f>+C12*$G$4</f>
        <v>418985.91</v>
      </c>
      <c r="C12" s="275">
        <f>+Mojave!D40</f>
        <v>196707</v>
      </c>
      <c r="D12" s="365">
        <f>+Mojave!A40</f>
        <v>37278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32" t="s">
        <v>2</v>
      </c>
      <c r="B13" s="346">
        <f>+mewborne!$J$43</f>
        <v>373024.39999999997</v>
      </c>
      <c r="C13" s="275">
        <f>+B13/$G$4</f>
        <v>175128.82629107981</v>
      </c>
      <c r="D13" s="365">
        <f>+mewborne!A43</f>
        <v>37278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32" t="s">
        <v>107</v>
      </c>
      <c r="B14" s="346">
        <f>+KN_Westar!F41</f>
        <v>302284.83</v>
      </c>
      <c r="C14" s="275">
        <f>+B14/$G$4</f>
        <v>141917.76056338029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88</v>
      </c>
      <c r="B15" s="346">
        <f>+C15*$G$5</f>
        <v>289535.58</v>
      </c>
      <c r="C15" s="275">
        <f>+NGPL!F38</f>
        <v>135297</v>
      </c>
      <c r="D15" s="365">
        <f>+NGPL!A38</f>
        <v>37278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+B8+B9+B42</f>
        <v>-49405.720000000205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207</v>
      </c>
      <c r="B16" s="346">
        <f>+Dominion!D41</f>
        <v>176004.38</v>
      </c>
      <c r="C16" s="275">
        <f>+B16/$G$5</f>
        <v>82245.037383177565</v>
      </c>
      <c r="D16" s="365">
        <f>+Dominion!A41</f>
        <v>37278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204" t="s">
        <v>32</v>
      </c>
      <c r="B17" s="346">
        <f>+C17*$G$4</f>
        <v>174344.75999999998</v>
      </c>
      <c r="C17" s="206">
        <f>+SoCal!F40</f>
        <v>81852</v>
      </c>
      <c r="D17" s="364">
        <f>+SoCal!A40</f>
        <v>37278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3</v>
      </c>
      <c r="B18" s="346">
        <f>+'Amoco Abo'!$F$43</f>
        <v>169772</v>
      </c>
      <c r="C18" s="275">
        <f>+B18/$G$4</f>
        <v>79705.164319248826</v>
      </c>
      <c r="D18" s="365">
        <f>+'Amoco Abo'!A43</f>
        <v>37276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210</v>
      </c>
      <c r="B19" s="346">
        <f>+Devon!D41</f>
        <v>153220.41</v>
      </c>
      <c r="C19" s="275">
        <f>+B19/$G$5</f>
        <v>71598.322429906533</v>
      </c>
      <c r="D19" s="365">
        <f>+Devon!A41</f>
        <v>37278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204" t="s">
        <v>330</v>
      </c>
      <c r="B20" s="346">
        <f>+Plains!$N$43</f>
        <v>107948.28</v>
      </c>
      <c r="C20" s="206">
        <f>+B20/$G$4</f>
        <v>50679.943661971833</v>
      </c>
      <c r="D20" s="364">
        <f>+Plains!A43</f>
        <v>37256</v>
      </c>
      <c r="E20" s="204" t="s">
        <v>85</v>
      </c>
      <c r="F20" s="204"/>
      <c r="G20" s="204" t="s">
        <v>100</v>
      </c>
      <c r="H20" s="204" t="s">
        <v>331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32" t="s">
        <v>218</v>
      </c>
      <c r="B21" s="346">
        <f>+Amarillo!P41</f>
        <v>92061.75</v>
      </c>
      <c r="C21" s="275">
        <f>+B21/$G$4</f>
        <v>43221.478873239437</v>
      </c>
      <c r="D21" s="365">
        <f>+Amarillo!A41</f>
        <v>37278</v>
      </c>
      <c r="E21" s="32" t="s">
        <v>85</v>
      </c>
      <c r="F21" s="32" t="s">
        <v>324</v>
      </c>
      <c r="G21" s="32" t="s">
        <v>113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129</v>
      </c>
      <c r="B22" s="346">
        <f>+EPFS!D41</f>
        <v>75964.709999999992</v>
      </c>
      <c r="C22" s="206">
        <f>+B22/$G$5</f>
        <v>35497.52803738317</v>
      </c>
      <c r="D22" s="364">
        <f>+EPFS!A41</f>
        <v>37278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109</v>
      </c>
      <c r="B23" s="346">
        <f>+Continental!F43</f>
        <v>73028</v>
      </c>
      <c r="C23" s="206">
        <f>+B23/$G$4</f>
        <v>34285.446009389671</v>
      </c>
      <c r="D23" s="364">
        <f>+Continental!A43</f>
        <v>37278</v>
      </c>
      <c r="E23" s="204" t="s">
        <v>85</v>
      </c>
      <c r="F23" s="204" t="s">
        <v>154</v>
      </c>
      <c r="G23" s="204" t="s">
        <v>115</v>
      </c>
      <c r="H23" s="204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32" t="s">
        <v>31</v>
      </c>
      <c r="B24" s="346">
        <f>+C24*$G$5</f>
        <v>67716.234000000011</v>
      </c>
      <c r="C24" s="275">
        <f>+Lonestar!F43</f>
        <v>31643.100000000002</v>
      </c>
      <c r="D24" s="364">
        <f>+Lonestar!A43</f>
        <v>37278</v>
      </c>
      <c r="E24" s="32" t="s">
        <v>84</v>
      </c>
      <c r="F24" s="32" t="s">
        <v>324</v>
      </c>
      <c r="G24" s="32" t="s">
        <v>102</v>
      </c>
      <c r="H24" s="32" t="s">
        <v>309</v>
      </c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204" t="s">
        <v>28</v>
      </c>
      <c r="B25" s="346">
        <f>+C25*$G$3</f>
        <v>65837.100000000006</v>
      </c>
      <c r="C25" s="275">
        <f>+williams!J40</f>
        <v>31351</v>
      </c>
      <c r="D25" s="364">
        <f>+williams!A40</f>
        <v>37278</v>
      </c>
      <c r="E25" s="204" t="s">
        <v>85</v>
      </c>
      <c r="F25" s="204" t="s">
        <v>154</v>
      </c>
      <c r="G25" s="204" t="s">
        <v>313</v>
      </c>
      <c r="H25" s="2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32" t="s">
        <v>114</v>
      </c>
      <c r="B26" s="346">
        <f>+C26*$G$4</f>
        <v>51064.619999999995</v>
      </c>
      <c r="C26" s="206">
        <f>+'PG&amp;E'!D40</f>
        <v>23974</v>
      </c>
      <c r="D26" s="365">
        <f>+'PG&amp;E'!A40</f>
        <v>37278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" customHeight="1" x14ac:dyDescent="0.25">
      <c r="A27" s="32" t="s">
        <v>103</v>
      </c>
      <c r="B27" s="346">
        <f>+EOG!$J$41</f>
        <v>49029.78</v>
      </c>
      <c r="C27" s="275">
        <f>+B27/$G$4</f>
        <v>23018.67605633803</v>
      </c>
      <c r="D27" s="364">
        <f>+EOG!A41</f>
        <v>37278</v>
      </c>
      <c r="E27" s="32" t="s">
        <v>85</v>
      </c>
      <c r="F27" s="32" t="s">
        <v>323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5">
      <c r="A28" s="32" t="s">
        <v>131</v>
      </c>
      <c r="B28" s="346">
        <f>+SidR!D41</f>
        <v>43695.170000000006</v>
      </c>
      <c r="C28" s="275">
        <f>+B28/$G$5</f>
        <v>20418.303738317758</v>
      </c>
      <c r="D28" s="365">
        <f>+SidR!A41</f>
        <v>37278</v>
      </c>
      <c r="E28" s="32" t="s">
        <v>85</v>
      </c>
      <c r="F28" s="32" t="s">
        <v>152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5">
      <c r="A29" s="32" t="s">
        <v>320</v>
      </c>
      <c r="B29" s="346">
        <f>+Stratland!$D$41</f>
        <v>42585.15</v>
      </c>
      <c r="C29" s="275">
        <f>+B29/$G$4</f>
        <v>19993.028169014087</v>
      </c>
      <c r="D29" s="364">
        <f>+Stratland!A41</f>
        <v>37257</v>
      </c>
      <c r="E29" s="32" t="s">
        <v>85</v>
      </c>
      <c r="F29" s="32" t="s">
        <v>323</v>
      </c>
      <c r="G29" s="32" t="s">
        <v>102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5">
      <c r="A30" s="32" t="s">
        <v>23</v>
      </c>
      <c r="B30" s="346">
        <f>+C30*$G$3</f>
        <v>41571.599999999999</v>
      </c>
      <c r="C30" s="348">
        <f>+'Red C'!$F$45</f>
        <v>19796</v>
      </c>
      <c r="D30" s="364">
        <f>+'Red C'!A45</f>
        <v>37278</v>
      </c>
      <c r="E30" s="204" t="s">
        <v>84</v>
      </c>
      <c r="F30" s="32" t="s">
        <v>153</v>
      </c>
      <c r="G30" s="32" t="s">
        <v>115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5">
      <c r="A31" s="32" t="s">
        <v>302</v>
      </c>
      <c r="B31" s="346">
        <f>+'WTG inc'!N43</f>
        <v>37618.410000000003</v>
      </c>
      <c r="C31" s="275">
        <f>+B31/$G$4</f>
        <v>17661.225352112677</v>
      </c>
      <c r="D31" s="365">
        <f>+'WTG inc'!A43</f>
        <v>37278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110</v>
      </c>
      <c r="B32" s="346">
        <f>+C32*$G$4</f>
        <v>37460.31</v>
      </c>
      <c r="C32" s="275">
        <f>+CIG!D42</f>
        <v>17587</v>
      </c>
      <c r="D32" s="365">
        <f>+CIG!A42</f>
        <v>37278</v>
      </c>
      <c r="E32" s="204" t="s">
        <v>84</v>
      </c>
      <c r="F32" s="32" t="s">
        <v>154</v>
      </c>
      <c r="G32" s="32" t="s">
        <v>113</v>
      </c>
      <c r="H32" s="32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5">
      <c r="A33" s="204" t="s">
        <v>127</v>
      </c>
      <c r="B33" s="346">
        <f>+Calpine!D41</f>
        <v>32109.210000000021</v>
      </c>
      <c r="C33" s="206">
        <f>+B33/$G$4</f>
        <v>15074.74647887325</v>
      </c>
      <c r="D33" s="364">
        <f>+Calpine!A41</f>
        <v>37278</v>
      </c>
      <c r="E33" s="204" t="s">
        <v>85</v>
      </c>
      <c r="F33" s="204" t="s">
        <v>153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5">
      <c r="A34" s="204" t="s">
        <v>139</v>
      </c>
      <c r="B34" s="346">
        <f>+'Citizens-Griffith'!D41</f>
        <v>26247.990000000005</v>
      </c>
      <c r="C34" s="275">
        <f>+B34/$G$4</f>
        <v>12323.000000000004</v>
      </c>
      <c r="D34" s="364">
        <f>+'Citizens-Griffith'!A41</f>
        <v>37278</v>
      </c>
      <c r="E34" s="204" t="s">
        <v>85</v>
      </c>
      <c r="F34" s="204" t="s">
        <v>324</v>
      </c>
      <c r="G34" s="204" t="s">
        <v>99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5">
      <c r="A35" s="204" t="s">
        <v>87</v>
      </c>
      <c r="B35" s="346">
        <f>+NNG!$D$24</f>
        <v>24134.670000000002</v>
      </c>
      <c r="C35" s="275">
        <f>+B35/$G$4</f>
        <v>11330.830985915494</v>
      </c>
      <c r="D35" s="364">
        <f>+NNG!A24</f>
        <v>37278</v>
      </c>
      <c r="E35" s="204" t="s">
        <v>85</v>
      </c>
      <c r="F35" s="204" t="s">
        <v>323</v>
      </c>
      <c r="G35" s="204" t="s">
        <v>100</v>
      </c>
      <c r="H35" s="204"/>
      <c r="I35" s="204"/>
      <c r="J35" s="204"/>
      <c r="K35" s="204"/>
      <c r="L35" s="204"/>
      <c r="M35" s="32" t="s">
        <v>245</v>
      </c>
      <c r="N35" s="380">
        <v>21665</v>
      </c>
      <c r="O35" s="70">
        <v>73449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93" customFormat="1" ht="12.9" customHeight="1" x14ac:dyDescent="0.25">
      <c r="A36" s="32" t="s">
        <v>311</v>
      </c>
      <c r="B36" s="346">
        <f>+C36*$G$3</f>
        <v>20790</v>
      </c>
      <c r="C36" s="275">
        <f>+Amoco!D40</f>
        <v>9900</v>
      </c>
      <c r="D36" s="365">
        <f>+Amoco!A40</f>
        <v>37278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5">
      <c r="A37" s="204" t="s">
        <v>71</v>
      </c>
      <c r="B37" s="347">
        <f>+transcol!$D$43</f>
        <v>14874.32</v>
      </c>
      <c r="C37" s="348">
        <f>+B37/$G$4</f>
        <v>6983.2488262910801</v>
      </c>
      <c r="D37" s="364">
        <f>+transcol!A43</f>
        <v>37278</v>
      </c>
      <c r="E37" s="204" t="s">
        <v>85</v>
      </c>
      <c r="F37" s="204" t="s">
        <v>153</v>
      </c>
      <c r="G37" s="204" t="s">
        <v>115</v>
      </c>
      <c r="H37" s="32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3" customFormat="1" ht="13.5" customHeight="1" x14ac:dyDescent="0.25">
      <c r="A38" s="204" t="s">
        <v>33</v>
      </c>
      <c r="B38" s="349">
        <f>+'El Paso'!C39*summary!G4+'El Paso'!E39*summary!G3</f>
        <v>10955.970000000001</v>
      </c>
      <c r="C38" s="71">
        <f>+'El Paso'!H39</f>
        <v>4299</v>
      </c>
      <c r="D38" s="364">
        <f>+'El Paso'!A39</f>
        <v>37278</v>
      </c>
      <c r="E38" s="204" t="s">
        <v>84</v>
      </c>
      <c r="F38" s="204" t="s">
        <v>154</v>
      </c>
      <c r="G38" s="204" t="s">
        <v>100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5">
      <c r="A39" s="32" t="s">
        <v>96</v>
      </c>
      <c r="B39" s="47">
        <f>SUM(B8:B38)</f>
        <v>6928159.4240000006</v>
      </c>
      <c r="C39" s="69">
        <f>SUM(C8:C38)</f>
        <v>3244867.8514589095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204" t="s">
        <v>248</v>
      </c>
      <c r="B42" s="347">
        <f>+DEFS!$C$40+DEFS!$E$40+DEFS!$F$44+DEFS!$F$45+DEFS!$F$46+DEFS!$F$47+DEFS!$F$48</f>
        <v>-2800636.2600000002</v>
      </c>
      <c r="C42" s="348">
        <f>+B42/$G$5</f>
        <v>-1308708.5327102805</v>
      </c>
      <c r="D42" s="364">
        <f>+DEFS!A40</f>
        <v>37278</v>
      </c>
      <c r="E42" s="204" t="s">
        <v>85</v>
      </c>
      <c r="F42" s="32" t="s">
        <v>153</v>
      </c>
      <c r="G42" s="32" t="s">
        <v>100</v>
      </c>
      <c r="H42" s="32" t="s">
        <v>333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135</v>
      </c>
      <c r="B43" s="346">
        <f>+Citizens!D18</f>
        <v>-550935</v>
      </c>
      <c r="C43" s="206">
        <f>+B43/$G$4</f>
        <v>-258654.92957746479</v>
      </c>
      <c r="D43" s="364">
        <f>+Citizens!A18</f>
        <v>37278</v>
      </c>
      <c r="E43" s="204" t="s">
        <v>85</v>
      </c>
      <c r="F43" s="204" t="s">
        <v>324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133</v>
      </c>
      <c r="B44" s="346">
        <f>+'NS Steel'!D41</f>
        <v>-295811.42</v>
      </c>
      <c r="C44" s="206">
        <f>+B44/$G$4</f>
        <v>-138878.60093896714</v>
      </c>
      <c r="D44" s="365">
        <f>+'NS Steel'!A41</f>
        <v>37278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204" t="s">
        <v>260</v>
      </c>
      <c r="B45" s="346">
        <f>+MiVida_Rich!D41</f>
        <v>-203736.06</v>
      </c>
      <c r="C45" s="206">
        <f>+B45/$G$5</f>
        <v>-95203.766355140178</v>
      </c>
      <c r="D45" s="364">
        <f>+MiVida_Rich!A41</f>
        <v>37256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443" t="s">
        <v>79</v>
      </c>
      <c r="B46" s="510">
        <f>+Agave!$D$24</f>
        <v>-142360.74</v>
      </c>
      <c r="C46" s="464">
        <f>+B46/$G$4</f>
        <v>-66836.028169014084</v>
      </c>
      <c r="D46" s="463">
        <f>+Agave!A24</f>
        <v>37278</v>
      </c>
      <c r="E46" s="443" t="s">
        <v>85</v>
      </c>
      <c r="F46" s="443" t="s">
        <v>324</v>
      </c>
      <c r="G46" s="443" t="s">
        <v>102</v>
      </c>
      <c r="H46" s="443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4" customFormat="1" ht="13.5" customHeight="1" x14ac:dyDescent="0.25">
      <c r="A47" s="32" t="s">
        <v>216</v>
      </c>
      <c r="B47" s="346">
        <f>+crosstex!F41</f>
        <v>-102991.62</v>
      </c>
      <c r="C47" s="206">
        <f>+B47/$G$4</f>
        <v>-48352.873239436623</v>
      </c>
      <c r="D47" s="365">
        <f>+crosstex!A41</f>
        <v>37278</v>
      </c>
      <c r="E47" s="32" t="s">
        <v>85</v>
      </c>
      <c r="F47" s="32" t="s">
        <v>152</v>
      </c>
      <c r="G47" s="32" t="s">
        <v>100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93" customFormat="1" ht="13.5" customHeight="1" x14ac:dyDescent="0.25">
      <c r="A48" s="32" t="s">
        <v>1</v>
      </c>
      <c r="B48" s="346">
        <f>+C48*$G$3</f>
        <v>-43873.200000000004</v>
      </c>
      <c r="C48" s="206">
        <f>+NW!$F$41</f>
        <v>-20892</v>
      </c>
      <c r="D48" s="364">
        <f>+NW!B41</f>
        <v>37278</v>
      </c>
      <c r="E48" s="32" t="s">
        <v>84</v>
      </c>
      <c r="F48" s="32" t="s">
        <v>153</v>
      </c>
      <c r="G48" s="32" t="s">
        <v>115</v>
      </c>
      <c r="H48" s="352"/>
      <c r="I48" s="204"/>
      <c r="J48" s="204"/>
      <c r="K48" s="204"/>
      <c r="L48" s="204"/>
      <c r="M48" s="204"/>
      <c r="N48" s="471"/>
      <c r="O48" s="273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</row>
    <row r="49" spans="1:33" ht="13.5" customHeight="1" x14ac:dyDescent="0.25">
      <c r="A49" s="32" t="s">
        <v>147</v>
      </c>
      <c r="B49" s="346">
        <f>+PGETX!$H$39</f>
        <v>-36638.15</v>
      </c>
      <c r="C49" s="275">
        <f>+B49/$G$4</f>
        <v>-17201.009389671362</v>
      </c>
      <c r="D49" s="365">
        <f>+PGETX!E39</f>
        <v>37278</v>
      </c>
      <c r="E49" s="32" t="s">
        <v>85</v>
      </c>
      <c r="F49" s="32" t="s">
        <v>154</v>
      </c>
      <c r="G49" s="32" t="s">
        <v>102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5">
      <c r="A50" s="204" t="s">
        <v>204</v>
      </c>
      <c r="B50" s="347">
        <f>+WTGmktg!J43</f>
        <v>-35657.480000000003</v>
      </c>
      <c r="C50" s="206">
        <f>+B50/$G$4</f>
        <v>-16740.600938967138</v>
      </c>
      <c r="D50" s="364">
        <f>+WTGmktg!A43</f>
        <v>37278</v>
      </c>
      <c r="E50" s="32" t="s">
        <v>85</v>
      </c>
      <c r="F50" s="204" t="s">
        <v>153</v>
      </c>
      <c r="G50" s="204" t="s">
        <v>115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5">
      <c r="A51" s="204" t="s">
        <v>142</v>
      </c>
      <c r="B51" s="347">
        <f>+C51*$G$4</f>
        <v>-31639.019999999997</v>
      </c>
      <c r="C51" s="348">
        <f>+PEPL!D41</f>
        <v>-14854</v>
      </c>
      <c r="D51" s="364">
        <f>+PEPL!A41</f>
        <v>37278</v>
      </c>
      <c r="E51" s="204" t="s">
        <v>84</v>
      </c>
      <c r="F51" s="204" t="s">
        <v>324</v>
      </c>
      <c r="G51" s="204" t="s">
        <v>100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5">
      <c r="A52" s="32" t="s">
        <v>297</v>
      </c>
      <c r="B52" s="346">
        <f>+SWGasTrans!$D$41</f>
        <v>-24077.13</v>
      </c>
      <c r="C52" s="275">
        <f>+B52/$G$4</f>
        <v>-11303.816901408452</v>
      </c>
      <c r="D52" s="364">
        <f>+SWGasTrans!A41</f>
        <v>37278</v>
      </c>
      <c r="E52" s="32" t="s">
        <v>85</v>
      </c>
      <c r="F52" s="32" t="s">
        <v>153</v>
      </c>
      <c r="G52" s="32" t="s">
        <v>99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5">
      <c r="A53" s="204" t="s">
        <v>95</v>
      </c>
      <c r="B53" s="346">
        <f>+burlington!D42</f>
        <v>-12366.36</v>
      </c>
      <c r="C53" s="275">
        <f>+B53/$G$3</f>
        <v>-5888.7428571428572</v>
      </c>
      <c r="D53" s="364">
        <f>+burlington!A42</f>
        <v>37278</v>
      </c>
      <c r="E53" s="204" t="s">
        <v>85</v>
      </c>
      <c r="F53" s="32" t="s">
        <v>154</v>
      </c>
      <c r="G53" s="32" t="s">
        <v>113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5">
      <c r="A54" s="32" t="s">
        <v>6</v>
      </c>
      <c r="B54" s="349">
        <f>+Oasis!$D$40</f>
        <v>-7041.3900000000031</v>
      </c>
      <c r="C54" s="350">
        <f>+B54/$G$5</f>
        <v>-3290.3691588785059</v>
      </c>
      <c r="D54" s="365">
        <f>+Oasis!A40</f>
        <v>37278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5">
      <c r="A55" s="32" t="s">
        <v>97</v>
      </c>
      <c r="B55" s="346">
        <f>SUM(B42:B54)</f>
        <v>-4287763.83</v>
      </c>
      <c r="C55" s="206">
        <f>SUM(C42:C54)</f>
        <v>-2006805.2702363713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4">
        <f>+B55+B39</f>
        <v>2640395.5940000005</v>
      </c>
      <c r="C57" s="355">
        <f>+C55+C39</f>
        <v>1238062.5812225381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6" sqref="B6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-700024</v>
      </c>
      <c r="C7" s="80">
        <v>-257170</v>
      </c>
      <c r="D7" s="80">
        <f t="shared" si="0"/>
        <v>442854</v>
      </c>
    </row>
    <row r="8" spans="1:4" x14ac:dyDescent="0.2">
      <c r="A8" s="32">
        <v>60667</v>
      </c>
      <c r="B8" s="309">
        <v>-126048</v>
      </c>
      <c r="C8" s="80">
        <v>-873190</v>
      </c>
      <c r="D8" s="80">
        <f t="shared" si="0"/>
        <v>-747142</v>
      </c>
    </row>
    <row r="9" spans="1:4" x14ac:dyDescent="0.2">
      <c r="A9" s="32">
        <v>60749</v>
      </c>
      <c r="B9" s="309">
        <v>85714</v>
      </c>
      <c r="C9" s="80">
        <v>-162596</v>
      </c>
      <c r="D9" s="80">
        <f t="shared" si="0"/>
        <v>-248310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-253492</v>
      </c>
      <c r="C11" s="80"/>
      <c r="D11" s="80">
        <f t="shared" si="0"/>
        <v>253492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-9891</v>
      </c>
    </row>
    <row r="19" spans="1:5" x14ac:dyDescent="0.2">
      <c r="A19" s="32" t="s">
        <v>81</v>
      </c>
      <c r="B19" s="69"/>
      <c r="C19" s="69"/>
      <c r="D19" s="73">
        <f>+summary!G4</f>
        <v>2.13</v>
      </c>
    </row>
    <row r="20" spans="1:5" x14ac:dyDescent="0.2">
      <c r="B20" s="69"/>
      <c r="C20" s="69"/>
      <c r="D20" s="75">
        <f>+D19*D18</f>
        <v>-21067.829999999998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37278</v>
      </c>
      <c r="B24" s="69"/>
      <c r="C24" s="69"/>
      <c r="D24" s="332">
        <f>+D22+D20</f>
        <v>24134.670000000002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37278</v>
      </c>
      <c r="D33" s="350">
        <f>+D18</f>
        <v>-9891</v>
      </c>
    </row>
    <row r="34" spans="1:4" x14ac:dyDescent="0.2">
      <c r="D34" s="14">
        <f>+D33+D32</f>
        <v>10199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f>-75003-2581</f>
        <v>-77584</v>
      </c>
      <c r="C5" s="90">
        <v>-46940</v>
      </c>
      <c r="D5" s="90">
        <f t="shared" ref="D5:D13" si="0">+C5-B5</f>
        <v>30644</v>
      </c>
      <c r="E5" s="69"/>
      <c r="F5" s="201"/>
    </row>
    <row r="6" spans="1:13" x14ac:dyDescent="0.25">
      <c r="A6" s="87">
        <v>9238</v>
      </c>
      <c r="B6" s="90">
        <v>-9933</v>
      </c>
      <c r="C6" s="90">
        <v>-22000</v>
      </c>
      <c r="D6" s="90">
        <f t="shared" si="0"/>
        <v>-12067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f>-2098816-90504</f>
        <v>-2189320</v>
      </c>
      <c r="C7" s="90">
        <v>-2156562</v>
      </c>
      <c r="D7" s="90">
        <f t="shared" si="0"/>
        <v>32758</v>
      </c>
      <c r="E7" s="275"/>
      <c r="F7" s="201"/>
    </row>
    <row r="8" spans="1:13" x14ac:dyDescent="0.25">
      <c r="A8" s="87">
        <v>58710</v>
      </c>
      <c r="B8" s="90">
        <v>-143515</v>
      </c>
      <c r="C8" s="90">
        <v>-141004</v>
      </c>
      <c r="D8" s="90">
        <f t="shared" si="0"/>
        <v>2511</v>
      </c>
      <c r="E8" s="275"/>
      <c r="F8" s="201"/>
    </row>
    <row r="9" spans="1:13" x14ac:dyDescent="0.25">
      <c r="A9" s="87">
        <v>60921</v>
      </c>
      <c r="B9" s="90">
        <f>-905201-62944</f>
        <v>-968145</v>
      </c>
      <c r="C9" s="90">
        <v>-1006754</v>
      </c>
      <c r="D9" s="90">
        <f t="shared" si="0"/>
        <v>-38609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5">
      <c r="A11" s="87">
        <v>500084</v>
      </c>
      <c r="B11" s="90">
        <f>-49031-2310</f>
        <v>-51341</v>
      </c>
      <c r="C11" s="90">
        <v>-66000</v>
      </c>
      <c r="D11" s="90">
        <f t="shared" si="0"/>
        <v>-14659</v>
      </c>
      <c r="E11" s="276"/>
      <c r="F11" s="467"/>
    </row>
    <row r="12" spans="1:13" x14ac:dyDescent="0.25">
      <c r="A12" s="317">
        <v>500085</v>
      </c>
      <c r="B12" s="90">
        <v>-3408</v>
      </c>
      <c r="C12" s="90"/>
      <c r="D12" s="90">
        <f t="shared" si="0"/>
        <v>3408</v>
      </c>
      <c r="E12" s="275"/>
      <c r="F12" s="467"/>
    </row>
    <row r="13" spans="1:13" x14ac:dyDescent="0.25">
      <c r="A13" s="87">
        <v>500097</v>
      </c>
      <c r="B13" s="90">
        <v>-75539</v>
      </c>
      <c r="C13" s="90">
        <v>-88000</v>
      </c>
      <c r="D13" s="90">
        <f t="shared" si="0"/>
        <v>-12461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-8475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2.13</v>
      </c>
      <c r="E18" s="277"/>
      <c r="F18" s="467"/>
    </row>
    <row r="19" spans="1:7" x14ac:dyDescent="0.25">
      <c r="A19" s="87"/>
      <c r="B19" s="88"/>
      <c r="C19" s="88"/>
      <c r="D19" s="96">
        <f>+D18*D17</f>
        <v>-18051.75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37278</v>
      </c>
      <c r="B23" s="88"/>
      <c r="C23" s="88"/>
      <c r="D23" s="318">
        <f>+D21+D19</f>
        <v>748862.57</v>
      </c>
      <c r="E23" s="207"/>
      <c r="F23" s="468"/>
    </row>
    <row r="24" spans="1:7" ht="13.8" thickTop="1" x14ac:dyDescent="0.25">
      <c r="E24" s="278"/>
    </row>
    <row r="25" spans="1:7" x14ac:dyDescent="0.25">
      <c r="E25" s="506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24">
        <v>307322</v>
      </c>
    </row>
    <row r="29" spans="1:7" x14ac:dyDescent="0.25">
      <c r="A29" s="49">
        <f>+A23</f>
        <v>37278</v>
      </c>
      <c r="B29" s="32"/>
      <c r="C29" s="32"/>
      <c r="D29" s="350">
        <f>+D17</f>
        <v>-8475</v>
      </c>
    </row>
    <row r="30" spans="1:7" x14ac:dyDescent="0.25">
      <c r="A30" s="32"/>
      <c r="B30" s="32"/>
      <c r="C30" s="32"/>
      <c r="D30" s="14">
        <f>+D29+D28</f>
        <v>298847</v>
      </c>
      <c r="E30" s="345"/>
    </row>
    <row r="31" spans="1:7" x14ac:dyDescent="0.25">
      <c r="A31" s="139"/>
      <c r="B31" s="119"/>
      <c r="C31" s="140"/>
      <c r="D31" s="55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C48" sqref="C4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5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>
        <v>53299</v>
      </c>
      <c r="C24" s="327">
        <v>53338</v>
      </c>
      <c r="D24" s="327">
        <v>-5082</v>
      </c>
      <c r="E24" s="327">
        <v>-5000</v>
      </c>
      <c r="F24" s="90">
        <f t="shared" si="2"/>
        <v>121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327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1055327</v>
      </c>
      <c r="C34" s="287">
        <f>SUM(C3:C33)</f>
        <v>1065998</v>
      </c>
      <c r="D34" s="14">
        <f>SUM(D3:D33)</f>
        <v>-199285</v>
      </c>
      <c r="E34" s="14">
        <f>SUM(E3:E33)</f>
        <v>-189900</v>
      </c>
      <c r="F34" s="14">
        <f>SUM(F3:F33)</f>
        <v>20056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1">
        <v>37278</v>
      </c>
      <c r="B38" s="14"/>
      <c r="C38" s="14"/>
      <c r="D38" s="14"/>
      <c r="E38" s="14"/>
      <c r="F38" s="150">
        <f>+F37+F34</f>
        <v>135297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37278</v>
      </c>
      <c r="B44" s="32"/>
      <c r="C44" s="32"/>
      <c r="D44" s="375">
        <f>+F34*'by type_area'!G4</f>
        <v>42719.28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339095.28</v>
      </c>
      <c r="F45" s="290"/>
      <c r="I45" s="504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0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5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5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5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5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5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5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5">
      <c r="A24" s="10">
        <v>21</v>
      </c>
      <c r="B24" s="11">
        <v>-19806</v>
      </c>
      <c r="C24" s="11">
        <v>-19652</v>
      </c>
      <c r="D24" s="25">
        <f t="shared" si="0"/>
        <v>154</v>
      </c>
    </row>
    <row r="25" spans="1:4" x14ac:dyDescent="0.25">
      <c r="A25" s="10">
        <v>22</v>
      </c>
      <c r="B25" s="11">
        <v>-19910</v>
      </c>
      <c r="C25" s="11">
        <v>-19652</v>
      </c>
      <c r="D25" s="25">
        <f t="shared" si="0"/>
        <v>258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-417700</v>
      </c>
      <c r="C35" s="11">
        <f>SUM(C4:C34)</f>
        <v>-407816</v>
      </c>
      <c r="D35" s="11">
        <f>SUM(D4:D34)</f>
        <v>9884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3">
        <v>186823</v>
      </c>
    </row>
    <row r="39" spans="1:4" x14ac:dyDescent="0.25">
      <c r="A39" s="2"/>
      <c r="D39" s="24"/>
    </row>
    <row r="40" spans="1:4" x14ac:dyDescent="0.25">
      <c r="A40" s="57">
        <v>37278</v>
      </c>
      <c r="D40" s="51">
        <f>+D38+D35</f>
        <v>196707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2">
        <v>199813</v>
      </c>
    </row>
    <row r="46" spans="1:4" x14ac:dyDescent="0.25">
      <c r="A46" s="49">
        <f>+A40</f>
        <v>37278</v>
      </c>
      <c r="B46" s="32"/>
      <c r="C46" s="32"/>
      <c r="D46" s="375">
        <f>+D35*'by type_area'!G4</f>
        <v>21052.92</v>
      </c>
    </row>
    <row r="47" spans="1:4" x14ac:dyDescent="0.25">
      <c r="A47" s="32"/>
      <c r="B47" s="32"/>
      <c r="C47" s="32"/>
      <c r="D47" s="200">
        <f>+D46+D45</f>
        <v>220865.91999999998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5" workbookViewId="0">
      <selection activeCell="C47" sqref="C4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219475</v>
      </c>
      <c r="C35" s="11">
        <f t="shared" ref="C35:I35" si="1">SUM(C4:C34)</f>
        <v>226091</v>
      </c>
      <c r="D35" s="11">
        <f t="shared" si="1"/>
        <v>176995</v>
      </c>
      <c r="E35" s="11">
        <f t="shared" si="1"/>
        <v>176252</v>
      </c>
      <c r="F35" s="11">
        <f t="shared" si="1"/>
        <v>150694</v>
      </c>
      <c r="G35" s="11">
        <f t="shared" si="1"/>
        <v>165710</v>
      </c>
      <c r="H35" s="11">
        <f t="shared" si="1"/>
        <v>0</v>
      </c>
      <c r="I35" s="11">
        <f t="shared" si="1"/>
        <v>0</v>
      </c>
      <c r="J35" s="11">
        <f>SUM(J4:J34)</f>
        <v>20889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2.13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44493.57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37278</v>
      </c>
      <c r="J41" s="319">
        <f>+J39+J37</f>
        <v>49029.78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37278</v>
      </c>
      <c r="B47" s="32"/>
      <c r="C47" s="32"/>
      <c r="D47" s="350">
        <f>+J35</f>
        <v>20889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-104649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-115684.56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302284.83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150390.46268656719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0" sqref="E30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5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5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5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5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5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18200</v>
      </c>
      <c r="F39" s="25">
        <f>SUM(F8:F38)</f>
        <v>18200</v>
      </c>
    </row>
    <row r="40" spans="1:6" x14ac:dyDescent="0.25">
      <c r="A40" s="26"/>
      <c r="C40" s="14"/>
      <c r="F40" s="253">
        <f>+summary!G4</f>
        <v>2.13</v>
      </c>
    </row>
    <row r="41" spans="1:6" x14ac:dyDescent="0.25">
      <c r="F41" s="138">
        <f>+F40*F39</f>
        <v>38766</v>
      </c>
    </row>
    <row r="42" spans="1:6" x14ac:dyDescent="0.25">
      <c r="A42" s="57">
        <v>37256</v>
      </c>
      <c r="C42" s="15"/>
      <c r="F42" s="495">
        <v>34262</v>
      </c>
    </row>
    <row r="43" spans="1:6" x14ac:dyDescent="0.25">
      <c r="A43" s="57">
        <v>37278</v>
      </c>
      <c r="C43" s="48"/>
      <c r="F43" s="138">
        <f>+F42+F41</f>
        <v>73028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0">
        <v>748</v>
      </c>
    </row>
    <row r="49" spans="1:4" x14ac:dyDescent="0.25">
      <c r="A49" s="49">
        <f>+A43</f>
        <v>37278</v>
      </c>
      <c r="B49" s="32"/>
      <c r="C49" s="32"/>
      <c r="D49" s="350">
        <f>+F39</f>
        <v>18200</v>
      </c>
    </row>
    <row r="50" spans="1:4" x14ac:dyDescent="0.25">
      <c r="A50" s="32"/>
      <c r="B50" s="32"/>
      <c r="C50" s="32"/>
      <c r="D50" s="14">
        <f>+D49+D48</f>
        <v>18948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0"/>
    </row>
    <row r="41" spans="1:4" x14ac:dyDescent="0.25">
      <c r="A41" s="57">
        <v>37256</v>
      </c>
      <c r="C41" s="15"/>
      <c r="D41" s="457">
        <v>16328</v>
      </c>
    </row>
    <row r="42" spans="1:4" x14ac:dyDescent="0.25">
      <c r="A42" s="57">
        <v>37278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1">
        <v>383278</v>
      </c>
    </row>
    <row r="48" spans="1:4" x14ac:dyDescent="0.25">
      <c r="A48" s="49">
        <f>+A42</f>
        <v>37278</v>
      </c>
      <c r="B48" s="32"/>
      <c r="C48" s="32"/>
      <c r="D48" s="375">
        <f>+D39*summary!G4</f>
        <v>2681.67</v>
      </c>
    </row>
    <row r="49" spans="1:4" x14ac:dyDescent="0.25">
      <c r="A49" s="32"/>
      <c r="B49" s="32"/>
      <c r="C49" s="32"/>
      <c r="D49" s="200">
        <f>+D48+D47</f>
        <v>385959.67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9" workbookViewId="0">
      <selection activeCell="C28" sqref="C28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-1664532</v>
      </c>
      <c r="I19" s="119">
        <f>+C37</f>
        <v>-1733484</v>
      </c>
      <c r="J19" s="119">
        <f>+I19-H19</f>
        <v>-68952</v>
      </c>
      <c r="K19" s="412">
        <f>+D38</f>
        <v>2.13</v>
      </c>
      <c r="L19" s="417">
        <f>+K19*J19</f>
        <v>-146867.75999999998</v>
      </c>
      <c r="M19" s="2"/>
      <c r="N19" s="34"/>
    </row>
    <row r="20" spans="1:14" x14ac:dyDescent="0.25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61540</v>
      </c>
      <c r="K24" s="408"/>
      <c r="L24" s="110">
        <f>+L19+L17</f>
        <v>-65182.660000000149</v>
      </c>
      <c r="M24" s="2"/>
      <c r="N24" s="34"/>
    </row>
    <row r="25" spans="1:14" x14ac:dyDescent="0.25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-30602.1877934273</v>
      </c>
    </row>
    <row r="27" spans="1:14" x14ac:dyDescent="0.25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-1664532</v>
      </c>
      <c r="C37" s="11">
        <f>SUM(C6:C36)</f>
        <v>-1733484</v>
      </c>
      <c r="D37" s="25">
        <f>SUM(D6:D36)</f>
        <v>-68952</v>
      </c>
    </row>
    <row r="38" spans="1:4" x14ac:dyDescent="0.25">
      <c r="A38" s="26"/>
      <c r="C38" s="14"/>
      <c r="D38" s="326">
        <f>+summary!G4</f>
        <v>2.13</v>
      </c>
    </row>
    <row r="39" spans="1:4" x14ac:dyDescent="0.25">
      <c r="D39" s="138">
        <f>+D38*D37</f>
        <v>-146867.75999999998</v>
      </c>
    </row>
    <row r="40" spans="1:4" x14ac:dyDescent="0.25">
      <c r="A40" s="57">
        <v>37256</v>
      </c>
      <c r="C40" s="15"/>
      <c r="D40" s="529">
        <v>178976.97</v>
      </c>
    </row>
    <row r="41" spans="1:4" x14ac:dyDescent="0.25">
      <c r="A41" s="57">
        <v>37278</v>
      </c>
      <c r="C41" s="48"/>
      <c r="D41" s="138">
        <f>+D40+D39</f>
        <v>32109.210000000021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173146</v>
      </c>
    </row>
    <row r="46" spans="1:4" x14ac:dyDescent="0.25">
      <c r="A46" s="49">
        <f>+A41</f>
        <v>37278</v>
      </c>
      <c r="B46" s="32"/>
      <c r="C46" s="32"/>
      <c r="D46" s="350">
        <f>+D37</f>
        <v>-68952</v>
      </c>
    </row>
    <row r="47" spans="1:4" x14ac:dyDescent="0.25">
      <c r="A47" s="32"/>
      <c r="B47" s="32"/>
      <c r="C47" s="32"/>
      <c r="D47" s="14">
        <f>+D46+D45</f>
        <v>104194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8" sqref="C28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5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5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5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5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5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5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5">
      <c r="A27" s="10">
        <v>22</v>
      </c>
      <c r="B27" s="11">
        <v>27457</v>
      </c>
      <c r="C27" s="11">
        <v>28727</v>
      </c>
      <c r="D27" s="25">
        <f t="shared" si="0"/>
        <v>1270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684645</v>
      </c>
      <c r="C37" s="11">
        <f>SUM(C6:C36)</f>
        <v>680422</v>
      </c>
      <c r="D37" s="25">
        <f>SUM(D6:D36)</f>
        <v>-4223</v>
      </c>
    </row>
    <row r="38" spans="1:4" x14ac:dyDescent="0.25">
      <c r="A38" s="26"/>
      <c r="B38" s="31"/>
      <c r="C38" s="14"/>
      <c r="D38" s="326">
        <f>+summary!G5</f>
        <v>2.14</v>
      </c>
    </row>
    <row r="39" spans="1:4" x14ac:dyDescent="0.25">
      <c r="D39" s="138">
        <f>+D38*D37</f>
        <v>-9037.2200000000012</v>
      </c>
    </row>
    <row r="40" spans="1:4" x14ac:dyDescent="0.25">
      <c r="A40" s="57">
        <v>37256</v>
      </c>
      <c r="C40" s="15"/>
      <c r="D40" s="529">
        <v>85001.93</v>
      </c>
    </row>
    <row r="41" spans="1:4" x14ac:dyDescent="0.25">
      <c r="A41" s="57">
        <v>37278</v>
      </c>
      <c r="C41" s="48"/>
      <c r="D41" s="138">
        <f>+D40+D39</f>
        <v>75964.709999999992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54581</v>
      </c>
    </row>
    <row r="46" spans="1:4" x14ac:dyDescent="0.25">
      <c r="A46" s="49">
        <f>+A41</f>
        <v>37278</v>
      </c>
      <c r="B46" s="32"/>
      <c r="C46" s="32"/>
      <c r="D46" s="350">
        <f>+D37</f>
        <v>-4223</v>
      </c>
    </row>
    <row r="47" spans="1:4" x14ac:dyDescent="0.25">
      <c r="A47" s="32"/>
      <c r="B47" s="32"/>
      <c r="C47" s="32"/>
      <c r="D47" s="14">
        <f>+D46+D45</f>
        <v>50358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C26" sqref="C26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47395</v>
      </c>
      <c r="G25" s="11">
        <v>46090</v>
      </c>
      <c r="H25" s="11">
        <v>144567</v>
      </c>
      <c r="I25" s="11">
        <v>142187</v>
      </c>
      <c r="J25" s="11">
        <f t="shared" si="0"/>
        <v>-477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6538968</v>
      </c>
      <c r="C35" s="11">
        <f t="shared" ref="C35:I35" si="3">SUM(C4:C34)</f>
        <v>6520034</v>
      </c>
      <c r="D35" s="11">
        <f t="shared" si="3"/>
        <v>847060</v>
      </c>
      <c r="E35" s="11">
        <f t="shared" si="3"/>
        <v>865044</v>
      </c>
      <c r="F35" s="11">
        <f t="shared" si="3"/>
        <v>915576</v>
      </c>
      <c r="G35" s="11">
        <f t="shared" si="3"/>
        <v>1017096</v>
      </c>
      <c r="H35" s="11">
        <f t="shared" si="3"/>
        <v>2826107</v>
      </c>
      <c r="I35" s="11">
        <f t="shared" si="3"/>
        <v>2756888</v>
      </c>
      <c r="J35" s="11">
        <f>SUM(J4:J34)</f>
        <v>31351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37278</v>
      </c>
      <c r="J40" s="51">
        <f>+J38+J35</f>
        <v>31351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37278</v>
      </c>
      <c r="B47" s="32"/>
      <c r="C47" s="32"/>
      <c r="D47" s="375">
        <f>+J35*'by type_area'!G3</f>
        <v>65837.100000000006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65837.100000000006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C28" sqref="C28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5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5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5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5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5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5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5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5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1054186</v>
      </c>
      <c r="C37" s="11">
        <f>SUM(C6:C36)</f>
        <v>1055569</v>
      </c>
      <c r="D37" s="25">
        <f>SUM(D6:D36)</f>
        <v>1383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2959.6200000000003</v>
      </c>
    </row>
    <row r="40" spans="1:4" x14ac:dyDescent="0.25">
      <c r="A40" s="57">
        <v>37256</v>
      </c>
      <c r="C40" s="15"/>
      <c r="D40" s="532">
        <v>40735.550000000003</v>
      </c>
    </row>
    <row r="41" spans="1:4" x14ac:dyDescent="0.25">
      <c r="A41" s="57">
        <v>37278</v>
      </c>
      <c r="C41" s="48"/>
      <c r="D41" s="138">
        <f>+D40+D39</f>
        <v>43695.170000000006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19256</v>
      </c>
    </row>
    <row r="47" spans="1:4" x14ac:dyDescent="0.25">
      <c r="A47" s="49">
        <f>+A41</f>
        <v>37278</v>
      </c>
      <c r="B47" s="32"/>
      <c r="C47" s="32"/>
      <c r="D47" s="350">
        <f>+D37</f>
        <v>1383</v>
      </c>
    </row>
    <row r="48" spans="1:4" x14ac:dyDescent="0.25">
      <c r="A48" s="32"/>
      <c r="B48" s="32"/>
      <c r="C48" s="32"/>
      <c r="D48" s="14">
        <f>+D47+D46</f>
        <v>20639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B28" sqref="B28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5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-27258</v>
      </c>
      <c r="C37" s="11">
        <f>SUM(C6:C36)</f>
        <v>908</v>
      </c>
      <c r="D37" s="25">
        <f>SUM(D6:D36)</f>
        <v>28166</v>
      </c>
    </row>
    <row r="38" spans="1:4" x14ac:dyDescent="0.25">
      <c r="A38" s="26"/>
      <c r="C38" s="14"/>
      <c r="D38" s="326">
        <f>+summary!G4</f>
        <v>2.13</v>
      </c>
    </row>
    <row r="39" spans="1:4" x14ac:dyDescent="0.25">
      <c r="D39" s="138">
        <f>+D38*D37</f>
        <v>59993.579999999994</v>
      </c>
    </row>
    <row r="40" spans="1:4" x14ac:dyDescent="0.25">
      <c r="A40" s="57">
        <v>37256</v>
      </c>
      <c r="C40" s="15"/>
      <c r="D40" s="529">
        <v>-355805</v>
      </c>
    </row>
    <row r="41" spans="1:4" x14ac:dyDescent="0.25">
      <c r="A41" s="57">
        <v>37278</v>
      </c>
      <c r="C41" s="48"/>
      <c r="D41" s="138">
        <f>+D40+D39</f>
        <v>-295811.42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24">
        <v>-44621</v>
      </c>
    </row>
    <row r="49" spans="1:4" x14ac:dyDescent="0.25">
      <c r="A49" s="49">
        <f>+A41</f>
        <v>37278</v>
      </c>
      <c r="B49" s="32"/>
      <c r="C49" s="32"/>
      <c r="D49" s="350">
        <f>+D37</f>
        <v>28166</v>
      </c>
    </row>
    <row r="50" spans="1:4" x14ac:dyDescent="0.25">
      <c r="A50" s="32"/>
      <c r="B50" s="32"/>
      <c r="C50" s="32"/>
      <c r="D50" s="14">
        <f>+D49+D48</f>
        <v>-16455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28" sqref="C2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5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5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5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5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5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5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-247730</v>
      </c>
      <c r="C37" s="11">
        <f>SUM(C6:C36)</f>
        <v>-267211</v>
      </c>
      <c r="D37" s="25">
        <f>SUM(D6:D36)</f>
        <v>-19481</v>
      </c>
    </row>
    <row r="38" spans="1:4" x14ac:dyDescent="0.25">
      <c r="A38" s="26"/>
      <c r="C38" s="14"/>
      <c r="D38" s="326">
        <f>+summary!G4</f>
        <v>2.13</v>
      </c>
    </row>
    <row r="39" spans="1:4" x14ac:dyDescent="0.25">
      <c r="D39" s="138">
        <f>+D38*D37</f>
        <v>-41494.53</v>
      </c>
    </row>
    <row r="40" spans="1:4" x14ac:dyDescent="0.25">
      <c r="A40" s="57">
        <v>37256</v>
      </c>
      <c r="C40" s="15"/>
      <c r="D40" s="529">
        <v>67742.52</v>
      </c>
    </row>
    <row r="41" spans="1:4" x14ac:dyDescent="0.25">
      <c r="A41" s="57">
        <v>37278</v>
      </c>
      <c r="C41" s="48"/>
      <c r="D41" s="138">
        <f>+D40+D39</f>
        <v>26247.990000000005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36151</v>
      </c>
    </row>
    <row r="47" spans="1:4" x14ac:dyDescent="0.25">
      <c r="A47" s="49">
        <f>+A41</f>
        <v>37278</v>
      </c>
      <c r="B47" s="32"/>
      <c r="C47" s="32"/>
      <c r="D47" s="350">
        <f>+D37</f>
        <v>-19481</v>
      </c>
    </row>
    <row r="48" spans="1:4" x14ac:dyDescent="0.25">
      <c r="A48" s="32"/>
      <c r="B48" s="32"/>
      <c r="C48" s="32"/>
      <c r="D48" s="14">
        <f>+D47+D46</f>
        <v>16670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9" sqref="C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-1</v>
      </c>
      <c r="C5" s="90">
        <v>-2626</v>
      </c>
      <c r="D5" s="90">
        <f>+C5-B5</f>
        <v>-2625</v>
      </c>
      <c r="E5" s="275"/>
      <c r="F5" s="273"/>
    </row>
    <row r="6" spans="1:13" x14ac:dyDescent="0.25">
      <c r="A6" s="87">
        <v>500046</v>
      </c>
      <c r="B6" s="90">
        <v>-13464</v>
      </c>
      <c r="C6" s="90"/>
      <c r="D6" s="90">
        <f t="shared" ref="D6:D11" si="0">+C6-B6</f>
        <v>13464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-19783</v>
      </c>
      <c r="C8" s="90">
        <v>-36839</v>
      </c>
      <c r="D8" s="90">
        <f t="shared" si="0"/>
        <v>-17056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-6217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2.13</v>
      </c>
      <c r="E13" s="277"/>
      <c r="F13" s="273"/>
    </row>
    <row r="14" spans="1:13" x14ac:dyDescent="0.25">
      <c r="A14" s="87"/>
      <c r="B14" s="88"/>
      <c r="C14" s="88"/>
      <c r="D14" s="96">
        <f>+D13*D12</f>
        <v>-13242.21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37278</v>
      </c>
      <c r="B18" s="88"/>
      <c r="C18" s="88"/>
      <c r="D18" s="318">
        <f>+D16+D14</f>
        <v>-550935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24">
        <v>-36823</v>
      </c>
    </row>
    <row r="23" spans="1:7" x14ac:dyDescent="0.25">
      <c r="A23" s="49"/>
      <c r="B23" s="32"/>
      <c r="C23" s="32"/>
      <c r="D23" s="350">
        <f>+D12</f>
        <v>-6217</v>
      </c>
    </row>
    <row r="24" spans="1:7" x14ac:dyDescent="0.25">
      <c r="A24" s="49">
        <f>+A18</f>
        <v>37278</v>
      </c>
      <c r="B24" s="32"/>
      <c r="C24" s="32"/>
      <c r="D24" s="14">
        <f>+D23+D22</f>
        <v>-43040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28" sqref="C28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5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5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5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5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5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5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5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-613296</v>
      </c>
      <c r="C37" s="11">
        <f>SUM(C6:C36)</f>
        <v>-613835</v>
      </c>
      <c r="D37" s="25">
        <f>SUM(D6:D36)</f>
        <v>-539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37256</v>
      </c>
      <c r="C40" s="15"/>
      <c r="D40" s="488">
        <v>-14315</v>
      </c>
    </row>
    <row r="41" spans="1:4" x14ac:dyDescent="0.25">
      <c r="A41" s="57">
        <v>37278</v>
      </c>
      <c r="C41" s="48"/>
      <c r="D41" s="25">
        <f>+D40+D37</f>
        <v>-14854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87">
        <v>163235</v>
      </c>
    </row>
    <row r="46" spans="1:4" x14ac:dyDescent="0.25">
      <c r="A46" s="49">
        <f>+A41</f>
        <v>37278</v>
      </c>
      <c r="B46" s="32"/>
      <c r="C46" s="32"/>
      <c r="D46" s="375">
        <f>+D37*'by type_area'!G4</f>
        <v>-1148.07</v>
      </c>
    </row>
    <row r="47" spans="1:4" x14ac:dyDescent="0.25">
      <c r="A47" s="32"/>
      <c r="B47" s="32"/>
      <c r="C47" s="32"/>
      <c r="D47" s="200">
        <f>+D46+D45</f>
        <v>162086.93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29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-51454</v>
      </c>
    </row>
    <row r="47" spans="1:4" x14ac:dyDescent="0.25">
      <c r="A47" s="49">
        <f>+A41</f>
        <v>37256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5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-3398</v>
      </c>
      <c r="C37" s="11">
        <f t="shared" ref="C37:I37" si="1">SUM(C6:C36)</f>
        <v>-3740</v>
      </c>
      <c r="D37" s="11">
        <f t="shared" si="1"/>
        <v>0</v>
      </c>
      <c r="E37" s="11">
        <f t="shared" si="1"/>
        <v>0</v>
      </c>
      <c r="F37" s="11">
        <f t="shared" si="1"/>
        <v>-23387</v>
      </c>
      <c r="G37" s="11">
        <f t="shared" si="1"/>
        <v>-23100</v>
      </c>
      <c r="H37" s="11">
        <f t="shared" si="1"/>
        <v>0</v>
      </c>
      <c r="I37" s="11">
        <f t="shared" si="1"/>
        <v>0</v>
      </c>
      <c r="J37" s="11">
        <f>SUM(J6:J36)</f>
        <v>-55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2.13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-117.14999999999999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37278</v>
      </c>
      <c r="J43" s="319">
        <f>+J41+J39</f>
        <v>-35657.480000000003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37278</v>
      </c>
      <c r="B49" s="32"/>
      <c r="C49" s="32"/>
      <c r="D49" s="350">
        <f>+J37</f>
        <v>-55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-3489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301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-17536</v>
      </c>
      <c r="M37" s="11">
        <f>SUM(M6:M36)</f>
        <v>-14752</v>
      </c>
      <c r="N37" s="11">
        <f t="shared" si="1"/>
        <v>2784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2.13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5929.92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37278</v>
      </c>
      <c r="N43" s="319">
        <f>+N41+N39</f>
        <v>37618.410000000003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37278</v>
      </c>
      <c r="B49" s="32"/>
      <c r="C49" s="32"/>
      <c r="D49" s="350">
        <f>+N37</f>
        <v>2784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14465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5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5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5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5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5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5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5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5190</v>
      </c>
      <c r="C37" s="11">
        <f>SUM(C6:C36)</f>
        <v>3300</v>
      </c>
      <c r="D37" s="25">
        <f>SUM(D6:D36)</f>
        <v>-1890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-4044.6000000000004</v>
      </c>
    </row>
    <row r="40" spans="1:4" x14ac:dyDescent="0.25">
      <c r="A40" s="57">
        <v>37256</v>
      </c>
      <c r="C40" s="15"/>
      <c r="D40" s="529">
        <v>180048.98</v>
      </c>
    </row>
    <row r="41" spans="1:4" x14ac:dyDescent="0.25">
      <c r="A41" s="57">
        <v>37278</v>
      </c>
      <c r="C41" s="48"/>
      <c r="D41" s="138">
        <f>+D40+D39</f>
        <v>176004.38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79013</v>
      </c>
    </row>
    <row r="47" spans="1:4" x14ac:dyDescent="0.25">
      <c r="A47" s="49">
        <f>+A41</f>
        <v>37278</v>
      </c>
      <c r="B47" s="32"/>
      <c r="C47" s="32"/>
      <c r="D47" s="350">
        <f>+D37</f>
        <v>-1890</v>
      </c>
    </row>
    <row r="48" spans="1:4" x14ac:dyDescent="0.25">
      <c r="A48" s="32"/>
      <c r="B48" s="32"/>
      <c r="C48" s="32"/>
      <c r="D48" s="14">
        <f>+D47+D46</f>
        <v>77123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5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5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5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5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5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5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5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5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5">
      <c r="A27" s="10">
        <v>22</v>
      </c>
      <c r="B27" s="11">
        <v>657</v>
      </c>
      <c r="C27" s="11">
        <v>88</v>
      </c>
      <c r="D27" s="25">
        <f t="shared" si="0"/>
        <v>-569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9238</v>
      </c>
      <c r="C37" s="11">
        <f>SUM(C6:C36)</f>
        <v>5466</v>
      </c>
      <c r="D37" s="25">
        <f>SUM(D6:D36)</f>
        <v>-3772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-8072.0800000000008</v>
      </c>
    </row>
    <row r="40" spans="1:4" x14ac:dyDescent="0.25">
      <c r="A40" s="57">
        <v>37256</v>
      </c>
      <c r="C40" s="15"/>
      <c r="D40" s="529">
        <v>161292.49</v>
      </c>
    </row>
    <row r="41" spans="1:4" x14ac:dyDescent="0.25">
      <c r="A41" s="57">
        <v>37278</v>
      </c>
      <c r="C41" s="48"/>
      <c r="D41" s="138">
        <f>+D40+D39</f>
        <v>153220.41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33971</v>
      </c>
    </row>
    <row r="47" spans="1:4" x14ac:dyDescent="0.25">
      <c r="A47" s="49">
        <f>+A41</f>
        <v>37278</v>
      </c>
      <c r="B47" s="32"/>
      <c r="C47" s="32"/>
      <c r="D47" s="350">
        <f>+D37</f>
        <v>-3772</v>
      </c>
    </row>
    <row r="48" spans="1:4" x14ac:dyDescent="0.25">
      <c r="A48" s="32"/>
      <c r="B48" s="32"/>
      <c r="C48" s="32"/>
      <c r="D48" s="14">
        <f>+D47+D46</f>
        <v>30199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A44" sqref="A4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5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5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5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5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5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5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5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5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5">
      <c r="A36" s="41"/>
      <c r="B36" s="11">
        <f>SUM(B5:B35)</f>
        <v>-204636</v>
      </c>
      <c r="C36" s="44">
        <f>SUM(C5:C35)</f>
        <v>-201068</v>
      </c>
      <c r="D36" s="43">
        <f>SUM(D5:D35)</f>
        <v>-1525432</v>
      </c>
      <c r="E36" s="43">
        <f>SUM(E5:E35)</f>
        <v>-1518735</v>
      </c>
      <c r="F36" s="11">
        <f>SUM(F5:F35)</f>
        <v>10265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5">
      <c r="A39" s="32"/>
      <c r="B39" s="32"/>
      <c r="C39" s="15"/>
      <c r="D39" s="15"/>
      <c r="E39" s="15"/>
      <c r="F39" s="494">
        <f>+summary!G5</f>
        <v>2.14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5">
      <c r="A40" s="32"/>
      <c r="B40" s="32"/>
      <c r="C40" s="48"/>
      <c r="D40" s="47"/>
      <c r="E40" s="48"/>
      <c r="F40" s="46">
        <f>+F39*F36</f>
        <v>21967.100000000002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5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5">
      <c r="A43" s="57">
        <v>37278</v>
      </c>
      <c r="B43" s="32"/>
      <c r="C43" s="106"/>
      <c r="D43" s="106"/>
      <c r="E43" s="106"/>
      <c r="F43" s="24">
        <f>+F40+F42</f>
        <v>31643.100000000002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5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5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5">
      <c r="A49" s="49">
        <f>+A43</f>
        <v>37278</v>
      </c>
      <c r="B49" s="32"/>
      <c r="C49" s="32"/>
      <c r="D49" s="76">
        <f>+F36</f>
        <v>10265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5">
      <c r="A50" s="32"/>
      <c r="B50" s="32"/>
      <c r="C50" s="32"/>
      <c r="D50" s="75">
        <f>+D49+D48</f>
        <v>30208.240000000002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5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5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5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5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5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5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5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5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5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5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5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5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5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5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5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5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5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5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5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5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5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5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5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5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5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5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5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5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5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5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5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5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5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5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5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5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5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5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5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5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5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5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5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5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5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5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5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5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5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5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5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5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5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5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5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5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5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5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5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5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5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5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5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5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5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5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5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5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5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5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5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5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5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5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5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5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5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5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5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5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5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5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5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5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5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5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5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5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5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5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5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5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5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5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5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5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5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5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5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5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5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5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5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5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5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5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5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5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5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5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5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5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5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5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5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5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5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5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5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5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5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5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5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5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5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5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5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5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5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5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5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5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5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5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5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5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5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5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5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5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5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5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5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5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5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5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5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5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5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5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5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5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5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5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5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5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5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5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5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5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5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5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5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5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5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5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5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5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5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5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5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5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5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-46141</v>
      </c>
      <c r="C37" s="24">
        <f>SUM(C6:C36)</f>
        <v>-35486</v>
      </c>
      <c r="D37" s="24">
        <f>SUM(D6:D36)</f>
        <v>-45619</v>
      </c>
      <c r="E37" s="24">
        <f>SUM(E6:E36)</f>
        <v>-42000</v>
      </c>
      <c r="F37" s="24">
        <f>SUM(F6:F36)</f>
        <v>14274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30403.62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37278</v>
      </c>
      <c r="C41" s="319"/>
      <c r="D41" s="262"/>
      <c r="E41" s="262"/>
      <c r="F41" s="104">
        <f>+F40+F39</f>
        <v>-102991.62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37278</v>
      </c>
      <c r="B47" s="32"/>
      <c r="C47" s="32"/>
      <c r="D47" s="350">
        <f>+F37</f>
        <v>14274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-29138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-46607</v>
      </c>
      <c r="C37" s="24">
        <f t="shared" si="1"/>
        <v>-46970</v>
      </c>
      <c r="D37" s="24">
        <f t="shared" si="1"/>
        <v>-8</v>
      </c>
      <c r="E37" s="24">
        <f t="shared" si="1"/>
        <v>-550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-905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2.13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-1927.6499999999999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37278</v>
      </c>
      <c r="E41" s="14"/>
      <c r="O41" s="442"/>
      <c r="P41" s="104">
        <f>+P40+P39</f>
        <v>92061.75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37278</v>
      </c>
      <c r="B47" s="32"/>
      <c r="C47" s="32"/>
      <c r="D47" s="350">
        <f>+P37</f>
        <v>-905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38165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28" sqref="C2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296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5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5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5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5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5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5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5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5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-315908</v>
      </c>
      <c r="C37" s="11">
        <f>SUM(C6:C36)</f>
        <v>-319928</v>
      </c>
      <c r="D37" s="25">
        <f>SUM(D6:D36)</f>
        <v>-4020</v>
      </c>
    </row>
    <row r="38" spans="1:4" x14ac:dyDescent="0.25">
      <c r="A38" s="26"/>
      <c r="C38" s="14"/>
      <c r="D38" s="326">
        <f>+summary!G4</f>
        <v>2.13</v>
      </c>
    </row>
    <row r="39" spans="1:4" x14ac:dyDescent="0.25">
      <c r="D39" s="138">
        <f>+D38*D37</f>
        <v>-8562.6</v>
      </c>
    </row>
    <row r="40" spans="1:4" x14ac:dyDescent="0.25">
      <c r="A40" s="57">
        <v>37256</v>
      </c>
      <c r="C40" s="15"/>
      <c r="D40" s="529">
        <v>-15514.53</v>
      </c>
    </row>
    <row r="41" spans="1:4" x14ac:dyDescent="0.25">
      <c r="A41" s="57">
        <v>37278</v>
      </c>
      <c r="C41" s="48"/>
      <c r="D41" s="138">
        <f>+D40+D39</f>
        <v>-24077.13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5596</v>
      </c>
    </row>
    <row r="47" spans="1:4" x14ac:dyDescent="0.25">
      <c r="A47" s="49">
        <f>+A41</f>
        <v>37278</v>
      </c>
      <c r="B47" s="32"/>
      <c r="C47" s="32"/>
      <c r="D47" s="350">
        <f>+D37</f>
        <v>-4020</v>
      </c>
    </row>
    <row r="48" spans="1:4" x14ac:dyDescent="0.25">
      <c r="A48" s="32"/>
      <c r="B48" s="32"/>
      <c r="C48" s="32"/>
      <c r="D48" s="14">
        <f>+D47+D46</f>
        <v>1576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1" sqref="A4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318</v>
      </c>
      <c r="C3" s="87"/>
      <c r="D3" s="87"/>
    </row>
    <row r="4" spans="1:4" x14ac:dyDescent="0.25">
      <c r="A4" s="3"/>
      <c r="B4" s="328" t="s">
        <v>319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-594.92000000000007</v>
      </c>
    </row>
    <row r="40" spans="1:4" x14ac:dyDescent="0.25">
      <c r="A40" s="57">
        <v>37256</v>
      </c>
      <c r="C40" s="15"/>
      <c r="D40" s="529">
        <v>43180.07</v>
      </c>
    </row>
    <row r="41" spans="1:4" x14ac:dyDescent="0.25">
      <c r="A41" s="57">
        <v>37257</v>
      </c>
      <c r="C41" s="48"/>
      <c r="D41" s="138">
        <f>+D40+D39</f>
        <v>42585.15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14850</v>
      </c>
    </row>
    <row r="47" spans="1:4" x14ac:dyDescent="0.25">
      <c r="A47" s="49">
        <f>+A41</f>
        <v>37257</v>
      </c>
      <c r="B47" s="32"/>
      <c r="C47" s="32"/>
      <c r="D47" s="350">
        <f>+D37</f>
        <v>-278</v>
      </c>
    </row>
    <row r="48" spans="1:4" x14ac:dyDescent="0.25">
      <c r="A48" s="32"/>
      <c r="B48" s="32"/>
      <c r="C48" s="32"/>
      <c r="D48" s="14">
        <f>+D47+D46</f>
        <v>14572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6" t="s">
        <v>301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5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5">
      <c r="N38" s="264">
        <f>+summary!G4</f>
        <v>2.13</v>
      </c>
      <c r="P38" s="51"/>
      <c r="T38" s="567"/>
      <c r="U38" s="19"/>
      <c r="V38" s="568"/>
      <c r="W38" s="252"/>
      <c r="X38" s="264"/>
      <c r="Y38" s="565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5">
      <c r="N40" s="329"/>
      <c r="P40" s="567"/>
      <c r="T40" s="567"/>
      <c r="U40" s="19"/>
      <c r="V40" s="568"/>
      <c r="W40" s="252"/>
      <c r="X40" s="264"/>
      <c r="Y40" s="565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5">
      <c r="N42" s="319"/>
      <c r="P42" s="567"/>
      <c r="T42" s="567"/>
      <c r="U42" s="19"/>
      <c r="V42" s="568"/>
      <c r="W42" s="252"/>
      <c r="X42" s="264"/>
      <c r="Y42" s="565"/>
    </row>
    <row r="43" spans="1:25" x14ac:dyDescent="0.25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5">
      <c r="N44" s="329"/>
      <c r="P44" s="567"/>
      <c r="T44" s="567"/>
      <c r="U44" s="19"/>
      <c r="V44" s="568"/>
      <c r="W44" s="252"/>
      <c r="X44" s="264"/>
      <c r="Y44" s="565"/>
    </row>
    <row r="45" spans="1:25" x14ac:dyDescent="0.25">
      <c r="P45" s="567"/>
      <c r="T45" s="567"/>
      <c r="U45" s="19"/>
      <c r="V45" s="568"/>
      <c r="W45" s="252"/>
      <c r="X45" s="264"/>
      <c r="Y45" s="565"/>
    </row>
    <row r="46" spans="1:25" x14ac:dyDescent="0.25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5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5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5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5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5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5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5">
      <c r="A84" s="261"/>
      <c r="O84" s="566"/>
      <c r="P84" s="567"/>
      <c r="Q84" s="567"/>
      <c r="R84" s="567"/>
      <c r="S84" s="567"/>
      <c r="T84" s="567"/>
      <c r="V84" s="575"/>
    </row>
    <row r="85" spans="1:22" x14ac:dyDescent="0.25">
      <c r="A85" s="261"/>
      <c r="O85" s="566"/>
      <c r="P85" s="567"/>
      <c r="Q85" s="567"/>
      <c r="R85" s="567"/>
      <c r="S85" s="567"/>
      <c r="T85" s="567"/>
      <c r="V85" s="575"/>
    </row>
    <row r="86" spans="1:22" x14ac:dyDescent="0.25">
      <c r="A86" s="261"/>
      <c r="O86" s="566"/>
      <c r="P86" s="567"/>
      <c r="Q86" s="567"/>
      <c r="R86" s="567"/>
      <c r="S86" s="567"/>
      <c r="T86" s="567"/>
      <c r="V86" s="575"/>
    </row>
    <row r="87" spans="1:22" x14ac:dyDescent="0.25">
      <c r="A87" s="261"/>
      <c r="O87" s="566"/>
      <c r="P87" s="567"/>
      <c r="Q87" s="567"/>
      <c r="R87" s="567"/>
      <c r="S87" s="567"/>
      <c r="T87" s="567"/>
      <c r="V87" s="575"/>
    </row>
    <row r="88" spans="1:22" x14ac:dyDescent="0.25">
      <c r="A88" s="261"/>
      <c r="O88" s="566"/>
      <c r="P88" s="567"/>
      <c r="Q88" s="567"/>
      <c r="R88" s="567"/>
      <c r="S88" s="567"/>
      <c r="T88" s="567"/>
      <c r="V88" s="575"/>
    </row>
    <row r="89" spans="1:22" x14ac:dyDescent="0.25">
      <c r="A89" s="261"/>
      <c r="O89" s="566"/>
      <c r="P89" s="567"/>
      <c r="Q89" s="567"/>
      <c r="R89" s="567"/>
      <c r="S89" s="567"/>
      <c r="T89" s="567"/>
      <c r="V89" s="575"/>
    </row>
    <row r="90" spans="1:22" x14ac:dyDescent="0.25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5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5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5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8"/>
      <c r="K166" s="578"/>
      <c r="M166" s="578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5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8"/>
      <c r="K208" s="578"/>
      <c r="M208" s="578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5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8"/>
      <c r="K251" s="578"/>
      <c r="M251" s="578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5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8"/>
      <c r="K293" s="578"/>
      <c r="M293" s="578"/>
      <c r="V293" s="578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5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9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5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9"/>
      <c r="W378" s="580"/>
    </row>
    <row r="381" spans="14:23" x14ac:dyDescent="0.25">
      <c r="O381" s="465"/>
      <c r="Q381" s="465"/>
      <c r="S381" s="465"/>
      <c r="U381" s="465"/>
    </row>
    <row r="382" spans="14:23" x14ac:dyDescent="0.25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5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9"/>
      <c r="W420" s="580"/>
    </row>
    <row r="425" spans="14:23" x14ac:dyDescent="0.25">
      <c r="O425" s="465"/>
      <c r="Q425" s="465"/>
      <c r="S425" s="465"/>
      <c r="U425" s="465"/>
    </row>
    <row r="426" spans="14:23" x14ac:dyDescent="0.25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5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9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5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29" sqref="C29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5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5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5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5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5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5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5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5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3060703</v>
      </c>
      <c r="C38" s="11">
        <f>SUM(C7:C37)</f>
        <v>3032150</v>
      </c>
      <c r="D38" s="11">
        <f>SUM(D7:D37)</f>
        <v>-28553</v>
      </c>
    </row>
    <row r="39" spans="1:8" x14ac:dyDescent="0.25">
      <c r="A39" s="26"/>
      <c r="C39" s="14"/>
      <c r="D39" s="106">
        <f>+summary!G3</f>
        <v>2.1</v>
      </c>
    </row>
    <row r="40" spans="1:8" x14ac:dyDescent="0.25">
      <c r="D40" s="138">
        <f>+D39*D38</f>
        <v>-59961.3</v>
      </c>
      <c r="H40">
        <v>20</v>
      </c>
    </row>
    <row r="41" spans="1:8" x14ac:dyDescent="0.25">
      <c r="A41" s="57">
        <v>37256</v>
      </c>
      <c r="C41" s="15"/>
      <c r="D41" s="542">
        <v>47594.94</v>
      </c>
      <c r="H41">
        <v>530</v>
      </c>
    </row>
    <row r="42" spans="1:8" x14ac:dyDescent="0.25">
      <c r="A42" s="57">
        <v>37278</v>
      </c>
      <c r="D42" s="319">
        <f>+D41+D40</f>
        <v>-12366.36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24">
        <v>20411</v>
      </c>
    </row>
    <row r="48" spans="1:8" x14ac:dyDescent="0.25">
      <c r="A48" s="49">
        <f>+A42</f>
        <v>37278</v>
      </c>
      <c r="B48" s="32"/>
      <c r="C48" s="32"/>
      <c r="D48" s="350">
        <f>+D38</f>
        <v>-28553</v>
      </c>
    </row>
    <row r="49" spans="1:4" x14ac:dyDescent="0.25">
      <c r="A49" s="32"/>
      <c r="B49" s="32"/>
      <c r="C49" s="32"/>
      <c r="D49" s="14">
        <f>+D48+D47</f>
        <v>-8142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9" workbookViewId="0">
      <selection activeCell="C51" sqref="C5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5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5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5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5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5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5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5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-3744911</v>
      </c>
      <c r="C35" s="11">
        <f>SUM(C4:C34)</f>
        <v>-3780008</v>
      </c>
      <c r="D35" s="11">
        <f>SUM(D4:D34)</f>
        <v>-35097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1">
        <v>59071</v>
      </c>
    </row>
    <row r="39" spans="1:30" x14ac:dyDescent="0.25">
      <c r="A39" s="12"/>
      <c r="D39" s="51"/>
    </row>
    <row r="40" spans="1:30" x14ac:dyDescent="0.25">
      <c r="A40" s="245">
        <v>37278</v>
      </c>
      <c r="D40" s="51">
        <f>+D38+D35</f>
        <v>23974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37278</v>
      </c>
      <c r="B46" s="32"/>
      <c r="C46" s="32"/>
      <c r="D46" s="375">
        <f>+D35*'by type_area'!G4</f>
        <v>-74756.61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-155299.76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C48" sqref="C4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5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5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5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5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5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5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5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-12096903</v>
      </c>
      <c r="C35" s="11">
        <f>SUM(C4:C34)</f>
        <v>-12119471</v>
      </c>
      <c r="D35" s="11">
        <f>SUM(D4:D34)</f>
        <v>0</v>
      </c>
      <c r="E35" s="11">
        <f>SUM(E4:E34)</f>
        <v>0</v>
      </c>
      <c r="F35" s="11">
        <f>SUM(F4:F34)</f>
        <v>-22568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33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37278</v>
      </c>
      <c r="D40" s="246"/>
      <c r="E40" s="246"/>
      <c r="F40" s="51">
        <f>+F38+F35</f>
        <v>81852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37278</v>
      </c>
      <c r="B46" s="32"/>
      <c r="C46" s="32"/>
      <c r="D46" s="474">
        <f>+F35*'by type_area'!G4</f>
        <v>-48069.84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283847.16000000003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16" workbookViewId="0">
      <selection activeCell="E26" sqref="E2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109375" style="32"/>
    <col min="20" max="20" width="10.6640625" style="32" bestFit="1" customWidth="1"/>
    <col min="21" max="16384" width="9.10937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8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3.2" x14ac:dyDescent="0.25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-2196693</v>
      </c>
      <c r="C35" s="44">
        <f t="shared" si="3"/>
        <v>-672962</v>
      </c>
      <c r="D35" s="11">
        <f t="shared" si="3"/>
        <v>-25</v>
      </c>
      <c r="E35" s="44">
        <f t="shared" si="3"/>
        <v>-1508911</v>
      </c>
      <c r="F35" s="11">
        <f t="shared" si="3"/>
        <v>0</v>
      </c>
      <c r="G35" s="11">
        <f t="shared" si="3"/>
        <v>0</v>
      </c>
      <c r="H35" s="11">
        <f t="shared" si="3"/>
        <v>14845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2.13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31619.85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37278</v>
      </c>
      <c r="F39" s="473"/>
      <c r="G39" s="473"/>
      <c r="H39" s="319">
        <f>+H38+H37</f>
        <v>-36638.15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37278</v>
      </c>
      <c r="E47" s="459">
        <f>+H35</f>
        <v>14845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9761</v>
      </c>
      <c r="F48" s="129"/>
      <c r="G48" s="129"/>
      <c r="H48" s="129"/>
      <c r="I48" s="262"/>
      <c r="J48" s="102"/>
      <c r="K48" s="515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E27" sqref="E27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-6402528</v>
      </c>
      <c r="E36" s="11">
        <f t="shared" si="15"/>
        <v>-6440339</v>
      </c>
      <c r="F36" s="11">
        <f t="shared" si="15"/>
        <v>0</v>
      </c>
      <c r="G36" s="11">
        <f t="shared" si="15"/>
        <v>0</v>
      </c>
      <c r="H36" s="11">
        <f t="shared" si="15"/>
        <v>-37811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-37811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37278</v>
      </c>
      <c r="B39" s="2" t="s">
        <v>45</v>
      </c>
      <c r="C39" s="131">
        <f>+C38+C37</f>
        <v>64269</v>
      </c>
      <c r="D39" s="252"/>
      <c r="E39" s="131">
        <f>+E38+E37</f>
        <v>-59970</v>
      </c>
      <c r="F39" s="252"/>
      <c r="G39" s="131"/>
      <c r="H39" s="131">
        <f>+H38+H36</f>
        <v>4299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37278</v>
      </c>
      <c r="B45" s="32"/>
      <c r="C45" s="47">
        <f>+C37*summary!G4</f>
        <v>0</v>
      </c>
      <c r="D45" s="205"/>
      <c r="E45" s="377">
        <f>+E37*summary!G3</f>
        <v>-79403.100000000006</v>
      </c>
      <c r="F45" s="47">
        <f>+E45+C45</f>
        <v>-79403.100000000006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E30" sqref="E30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37278</v>
      </c>
      <c r="I23" s="11">
        <f>+B39</f>
        <v>3216138</v>
      </c>
      <c r="J23" s="11">
        <f>+C39</f>
        <v>3200749</v>
      </c>
      <c r="K23" s="11">
        <f>+D39</f>
        <v>281672</v>
      </c>
      <c r="L23" s="11">
        <f>+E39</f>
        <v>286726</v>
      </c>
      <c r="M23" s="42">
        <f>+J23-I23+L23-K23</f>
        <v>-10335</v>
      </c>
      <c r="N23" s="102">
        <f>+summary!G3</f>
        <v>2.1</v>
      </c>
      <c r="O23" s="503">
        <f>+N23*M23</f>
        <v>-21703.5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79465</v>
      </c>
      <c r="N24" s="102"/>
      <c r="O24" s="102">
        <f>SUM(O9:O23)</f>
        <v>546412.84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3216138</v>
      </c>
      <c r="C39" s="150">
        <f>SUM(C8:C38)</f>
        <v>3200749</v>
      </c>
      <c r="D39" s="150">
        <f>SUM(D8:D38)</f>
        <v>281672</v>
      </c>
      <c r="E39" s="150">
        <f>SUM(E8:E38)</f>
        <v>286726</v>
      </c>
      <c r="F39" s="11">
        <f t="shared" si="5"/>
        <v>-10335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37278</v>
      </c>
      <c r="B45" s="32"/>
      <c r="C45" s="106"/>
      <c r="D45" s="106"/>
      <c r="E45" s="106"/>
      <c r="F45" s="24">
        <f>+F44+F39</f>
        <v>19796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37278</v>
      </c>
      <c r="B51" s="32"/>
      <c r="C51" s="32"/>
      <c r="D51" s="350">
        <f>+F39*summary!G3</f>
        <v>-21703.5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412657.28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2002-01-23T14:00:49Z</cp:lastPrinted>
  <dcterms:created xsi:type="dcterms:W3CDTF">2000-03-28T16:52:23Z</dcterms:created>
  <dcterms:modified xsi:type="dcterms:W3CDTF">2023-09-10T12:02:14Z</dcterms:modified>
</cp:coreProperties>
</file>