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48" yWindow="0" windowWidth="7800" windowHeight="8580"/>
  </bookViews>
  <sheets>
    <sheet name="Summary" sheetId="13" r:id="rId1"/>
    <sheet name="USGT 500622" sheetId="9" r:id="rId2"/>
    <sheet name="Calpine 78151" sheetId="24" r:id="rId3"/>
    <sheet name="EES 500616" sheetId="17" r:id="rId4"/>
    <sheet name="Richardson 500622" sheetId="5" r:id="rId5"/>
    <sheet name="USGT 500616" sheetId="21" r:id="rId6"/>
    <sheet name="Astra 500622" sheetId="19" r:id="rId7"/>
    <sheet name="PNM Discount" sheetId="26" r:id="rId8"/>
    <sheet name="PNM 500617" sheetId="8" r:id="rId9"/>
    <sheet name="Sempra 500622" sheetId="23" r:id="rId10"/>
    <sheet name="Sheet1" sheetId="25" r:id="rId11"/>
    <sheet name="USGT 500621" sheetId="6" r:id="rId12"/>
    <sheet name="Oneok 500617" sheetId="22" r:id="rId13"/>
    <sheet name="Astra 500621" sheetId="20" r:id="rId14"/>
    <sheet name="USGT 500617 " sheetId="7" r:id="rId15"/>
    <sheet name="Duke 500622" sheetId="16" r:id="rId16"/>
    <sheet name="Cinergy M&amp;T 500622" sheetId="18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2">'Calpine 78151'!$A$1:$U$53</definedName>
    <definedName name="_xlnm.Print_Area" localSheetId="8">'PNM 500617'!$A$1:$U$51</definedName>
    <definedName name="_xlnm.Print_Area" localSheetId="0">Summary!$A$1:$L$49</definedName>
  </definedNames>
  <calcPr calcId="92512"/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G48" i="8"/>
  <c r="G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F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L15" i="13"/>
  <c r="B16" i="13"/>
  <c r="C16" i="13"/>
  <c r="D16" i="13"/>
  <c r="E16" i="13"/>
  <c r="F16" i="13"/>
  <c r="H16" i="13"/>
  <c r="J16" i="13"/>
  <c r="K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F27" i="13"/>
  <c r="J27" i="13"/>
  <c r="L27" i="13"/>
  <c r="J29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<sst xmlns="http://schemas.openxmlformats.org/spreadsheetml/2006/main" count="879" uniqueCount="105">
  <si>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</si>
  <si>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</si>
  <si>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</si>
  <si>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</si>
  <si>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</si>
  <si>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</si>
  <si>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</si>
  <si>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</si>
  <si>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</si>
  <si>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</si>
  <si>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</si>
  <si>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</si>
  <si>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</si>
  <si>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</si>
  <si>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</si>
  <si>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</si>
  <si>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</si>
  <si>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</si>
  <si>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</si>
  <si>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</si>
  <si>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</si>
  <si>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</si>
  <si>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</si>
  <si>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</si>
  <si>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</si>
  <si>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</si>
  <si>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</si>
  <si>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</si>
  <si>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</si>
  <si>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</si>
  <si>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</si>
  <si>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</si>
  <si>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</si>
  <si>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</si>
  <si>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</si>
  <si>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</si>
  <si>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</si>
  <si>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</si>
  <si>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</si>
  <si>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</si>
  <si>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</si>
  <si>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</si>
  <si>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</si>
  <si>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</si>
  <si>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</si>
  <si>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</si>
  <si>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</si>
  <si>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</si>
  <si>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</si>
  <si>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</si>
  <si>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</si>
  <si>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</si>
  <si>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</si>
  <si>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</si>
  <si>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</si>
  <si>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</si>
  <si>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</si>
  <si>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</si>
  <si>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</si>
  <si>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</si>
  <si>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</si>
  <si>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</si>
  <si>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</si>
  <si>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</si>
  <si>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</si>
  <si>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</si>
  <si>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</si>
  <si>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</si>
  <si>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</si>
  <si>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</si>
  <si>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</si>
  <si>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</si>
  <si>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</si>
  <si>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</si>
  <si>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</si>
  <si>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</si>
  <si>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</si>
  <si>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</si>
  <si>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</si>
  <si>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</si>
  <si>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</si>
  <si>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</si>
  <si>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</si>
  <si>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</si>
  <si>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</si>
  <si>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</si>
  <si>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</si>
  <si>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</si>
  <si>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</si>
  <si>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</si>
  <si>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</si>
  <si>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</si>
  <si>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</si>
  <si>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</si>
  <si>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</si>
  <si>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</si>
  <si>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</si>
  <si>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</si>
  <si>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 xml:space="preserve">$0.03/Dth - TK Lohman </t>
  </si>
  <si>
    <t>Actual Billing Summary for August 2001</t>
  </si>
  <si>
    <t>INVOICE DETAIL - September, 2001</t>
  </si>
  <si>
    <t>Sept 1 - 6</t>
  </si>
  <si>
    <t>Sept 8 - 12</t>
  </si>
  <si>
    <t>Posted Rates During September, 2001</t>
  </si>
  <si>
    <t>Sept 7 - 30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</si>
</sst>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1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2" fillId="0" borderId="30" xfId="0" applyFont="1" applyBorder="1"/>
    <xf numFmtId="174" fontId="0" fillId="0" borderId="31" xfId="0" applyNumberFormat="1" applyBorder="1" applyAlignment="1">
      <alignment horizontal="center"/>
    </xf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0" fontId="0" fillId="0" borderId="34" xfId="0" applyBorder="1"/>
    <xf numFmtId="0" fontId="0" fillId="0" borderId="35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73" fontId="0" fillId="0" borderId="32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173" fontId="0" fillId="0" borderId="34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0" fillId="0" borderId="18" xfId="0" applyBorder="1"/>
    <xf numFmtId="0" fontId="0" fillId="0" borderId="15" xfId="0" applyBorder="1"/>
    <xf numFmtId="0" fontId="3" fillId="0" borderId="19" xfId="0" applyFont="1" applyBorder="1"/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3" fillId="0" borderId="0" xfId="3" applyFont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0" fontId="2" fillId="0" borderId="37" xfId="3" applyFont="1" applyBorder="1" applyAlignment="1" applyProtection="1">
      <alignment horizontal="center"/>
      <protection locked="0"/>
    </xf>
    <xf numFmtId="0" fontId="2" fillId="0" borderId="38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68580</xdr:rowOff>
    </xdr:from>
    <xdr:to>
      <xdr:col>5</xdr:col>
      <xdr:colOff>457200</xdr:colOff>
      <xdr:row>8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40280" y="1074420"/>
          <a:ext cx="2270760" cy="28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464820</xdr:colOff>
      <xdr:row>8</xdr:row>
      <xdr:rowOff>22860</xdr:rowOff>
    </xdr:from>
    <xdr:to>
      <xdr:col>6</xdr:col>
      <xdr:colOff>198120</xdr:colOff>
      <xdr:row>11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518660" y="1363980"/>
          <a:ext cx="25908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</xdr:row>
      <xdr:rowOff>160020</xdr:rowOff>
    </xdr:from>
    <xdr:to>
      <xdr:col>6</xdr:col>
      <xdr:colOff>411480</xdr:colOff>
      <xdr:row>5</xdr:row>
      <xdr:rowOff>106680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662940"/>
          <a:ext cx="2514600" cy="281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426720</xdr:colOff>
      <xdr:row>1</xdr:row>
      <xdr:rowOff>7620</xdr:rowOff>
    </xdr:from>
    <xdr:to>
      <xdr:col>13</xdr:col>
      <xdr:colOff>541020</xdr:colOff>
      <xdr:row>6</xdr:row>
      <xdr:rowOff>60960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229600" y="175260"/>
          <a:ext cx="257556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411480</xdr:colOff>
      <xdr:row>5</xdr:row>
      <xdr:rowOff>121920</xdr:rowOff>
    </xdr:from>
    <xdr:to>
      <xdr:col>7</xdr:col>
      <xdr:colOff>160020</xdr:colOff>
      <xdr:row>11</xdr:row>
      <xdr:rowOff>68580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991100" y="960120"/>
          <a:ext cx="525780" cy="1325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792480</xdr:colOff>
      <xdr:row>6</xdr:row>
      <xdr:rowOff>45720</xdr:rowOff>
    </xdr:from>
    <xdr:to>
      <xdr:col>11</xdr:col>
      <xdr:colOff>891540</xdr:colOff>
      <xdr:row>10</xdr:row>
      <xdr:rowOff>91440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9189720" y="1051560"/>
          <a:ext cx="99060" cy="10896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6</xdr:row>
      <xdr:rowOff>68580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04020" y="1074420"/>
          <a:ext cx="106680" cy="105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48</xdr:row>
      <xdr:rowOff>228600</xdr:rowOff>
    </xdr:from>
    <xdr:to>
      <xdr:col>12</xdr:col>
      <xdr:colOff>167640</xdr:colOff>
      <xdr:row>51</xdr:row>
      <xdr:rowOff>129540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7094220" y="8663940"/>
          <a:ext cx="236982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175260</xdr:colOff>
      <xdr:row>50</xdr:row>
      <xdr:rowOff>22860</xdr:rowOff>
    </xdr:from>
    <xdr:to>
      <xdr:col>12</xdr:col>
      <xdr:colOff>792480</xdr:colOff>
      <xdr:row>50</xdr:row>
      <xdr:rowOff>30480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471660" y="8892540"/>
          <a:ext cx="61722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3" workbookViewId="0">
      <selection activeCell="F27" sqref="F27"/>
    </sheetView>
  </sheetViews>
  <sheetFormatPr defaultRowHeight="13.2" x14ac:dyDescent="0.25"/>
  <cols>
    <col min="1" max="1" width="10.6640625" customWidth="1"/>
    <col min="2" max="2" width="25" customWidth="1"/>
    <col min="3" max="5" width="10.6640625" customWidth="1"/>
    <col min="6" max="6" width="11.88671875" customWidth="1"/>
    <col min="7" max="7" width="11" customWidth="1"/>
    <col min="8" max="8" width="10.6640625" customWidth="1"/>
    <col min="9" max="9" width="10.88671875" customWidth="1"/>
    <col min="10" max="10" width="15.33203125" customWidth="1"/>
    <col min="11" max="11" width="12.6640625" customWidth="1"/>
    <col min="12" max="12" width="14.109375" customWidth="1"/>
  </cols>
  <sheetData>
    <row r="1" spans="1:12" x14ac:dyDescent="0.25">
      <c r="A1" s="62" t="s">
        <v>44</v>
      </c>
      <c r="F1" s="63"/>
      <c r="G1" s="64"/>
      <c r="H1" s="65"/>
      <c r="I1" s="66"/>
      <c r="J1" s="67"/>
    </row>
    <row r="2" spans="1:12" x14ac:dyDescent="0.25">
      <c r="A2" s="62" t="s">
        <v>45</v>
      </c>
      <c r="F2" s="63"/>
      <c r="G2" s="64"/>
      <c r="H2" s="65"/>
      <c r="I2" s="66"/>
      <c r="J2" s="67"/>
    </row>
    <row r="3" spans="1:12" x14ac:dyDescent="0.25">
      <c r="A3" s="62" t="s">
        <v>99</v>
      </c>
      <c r="F3" s="63"/>
      <c r="G3" s="64"/>
      <c r="H3" s="65"/>
      <c r="I3" s="66"/>
      <c r="J3" s="67"/>
    </row>
    <row r="4" spans="1:12" x14ac:dyDescent="0.25">
      <c r="A4" s="62"/>
      <c r="F4" s="63"/>
      <c r="G4" s="64"/>
      <c r="H4" s="64"/>
      <c r="I4" s="66"/>
      <c r="J4" s="67"/>
    </row>
    <row r="5" spans="1:12" ht="13.8" thickBot="1" x14ac:dyDescent="0.3">
      <c r="A5" s="62"/>
      <c r="F5" s="63"/>
      <c r="G5" s="64"/>
      <c r="H5" s="64"/>
      <c r="I5" s="66"/>
      <c r="J5" s="67"/>
    </row>
    <row r="6" spans="1:12" ht="40.200000000000003" thickBot="1" x14ac:dyDescent="0.3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5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2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5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hidden="1" x14ac:dyDescent="0.25">
      <c r="A9" s="92">
        <v>37135</v>
      </c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>
        <f>'PNM 500617'!$G$48</f>
        <v>0</v>
      </c>
      <c r="G9" s="87">
        <v>0.1</v>
      </c>
      <c r="H9" s="93" t="e">
        <f t="shared" si="0"/>
        <v>#DIV/0!</v>
      </c>
      <c r="I9" s="89" t="s">
        <v>57</v>
      </c>
      <c r="J9" s="88">
        <f>'PNM 500617'!$U$46</f>
        <v>0</v>
      </c>
      <c r="K9" s="90">
        <f>'PNM 500617'!$K$42</f>
        <v>0</v>
      </c>
      <c r="L9" s="91">
        <f>'PNM 500617'!$U$46</f>
        <v>0</v>
      </c>
    </row>
    <row r="10" spans="1:12" s="84" customFormat="1" hidden="1" x14ac:dyDescent="0.25">
      <c r="B10" s="85" t="str">
        <f>'USGT 500616'!$B$11</f>
        <v>USGT</v>
      </c>
      <c r="C10" s="85">
        <f>'USGT 500616'!$C$11</f>
        <v>27268</v>
      </c>
      <c r="D10" s="85">
        <f>'USGT 500616'!$E$11</f>
        <v>500616</v>
      </c>
      <c r="E10" s="110">
        <f>'USGT 500616'!$J$11</f>
        <v>0</v>
      </c>
      <c r="F10" s="86">
        <f>'USGT 500616'!$G$48</f>
        <v>0</v>
      </c>
      <c r="G10" s="87">
        <v>0.38829999999999998</v>
      </c>
      <c r="H10" s="93" t="e">
        <f>J10/F10</f>
        <v>#DIV/0!</v>
      </c>
      <c r="I10" s="89" t="s">
        <v>57</v>
      </c>
      <c r="J10" s="100">
        <f>'USGT 500616'!$U$45</f>
        <v>0</v>
      </c>
      <c r="K10" s="90">
        <f>'USGT 500616'!$K$42</f>
        <v>0</v>
      </c>
      <c r="L10" s="91">
        <f>'USGT 500616'!$U$46</f>
        <v>0</v>
      </c>
    </row>
    <row r="11" spans="1:12" s="84" customFormat="1" hidden="1" x14ac:dyDescent="0.25">
      <c r="A11" s="92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500616'!$Z$11</f>
        <v>0</v>
      </c>
      <c r="F11" s="86">
        <f>'USGT 500616'!$Y$48</f>
        <v>0</v>
      </c>
      <c r="G11" s="87">
        <v>0.38829999999999998</v>
      </c>
      <c r="H11" s="93" t="e">
        <f>J11/F11</f>
        <v>#DIV/0!</v>
      </c>
      <c r="I11" s="89" t="s">
        <v>57</v>
      </c>
      <c r="J11" s="88">
        <f>'USGT 500616'!$AK$45</f>
        <v>0</v>
      </c>
      <c r="K11" s="90">
        <f>'USGT 500616'!$AA$41</f>
        <v>0</v>
      </c>
      <c r="L11" s="91">
        <f>'USGT 500616'!$AK$47</f>
        <v>0</v>
      </c>
    </row>
    <row r="12" spans="1:12" s="84" customFormat="1" hidden="1" x14ac:dyDescent="0.25">
      <c r="B12" s="85" t="str">
        <f>'USGT 500615'!$B$11</f>
        <v>USGT</v>
      </c>
      <c r="C12" s="85">
        <f>'USGT 500615'!$C$11</f>
        <v>27268</v>
      </c>
      <c r="D12" s="85">
        <f>'USGT 500615'!$E$11</f>
        <v>500615</v>
      </c>
      <c r="E12" s="110">
        <f>'USGT 500615'!$J$11</f>
        <v>0</v>
      </c>
      <c r="F12" s="86">
        <f>'USGT 500615'!$G$46</f>
        <v>0</v>
      </c>
      <c r="G12" s="87">
        <v>0.38829999999999998</v>
      </c>
      <c r="H12" s="93" t="e">
        <f t="shared" si="0"/>
        <v>#DIV/0!</v>
      </c>
      <c r="I12" s="89" t="s">
        <v>57</v>
      </c>
      <c r="J12" s="88">
        <f>'USGT 500615'!$S$45</f>
        <v>0</v>
      </c>
      <c r="K12" s="90">
        <f>'USGT 500615'!$K$42</f>
        <v>0</v>
      </c>
      <c r="L12" s="88">
        <f>'USGT 500615'!$U$47</f>
        <v>0</v>
      </c>
    </row>
    <row r="13" spans="1:12" s="84" customFormat="1" hidden="1" x14ac:dyDescent="0.25">
      <c r="A13" s="92"/>
      <c r="B13" s="85" t="str">
        <f>'USGT 500617 '!B11</f>
        <v>USGT</v>
      </c>
      <c r="C13" s="85">
        <f>'USGT 500617 '!C11</f>
        <v>27268</v>
      </c>
      <c r="D13" s="85">
        <f>'USGT 500617 '!$E$11</f>
        <v>500617</v>
      </c>
      <c r="E13" s="110">
        <f>'USGT 500617 '!$J$11</f>
        <v>0</v>
      </c>
      <c r="F13" s="86">
        <f>'USGT 500617 '!$G$48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100">
        <f>'USGT 500617 '!$U$45</f>
        <v>0</v>
      </c>
      <c r="K13" s="90">
        <f>'USGT 500617 '!$K$41</f>
        <v>0</v>
      </c>
      <c r="L13" s="100">
        <f>'USGT 500617 '!$U$47</f>
        <v>0</v>
      </c>
    </row>
    <row r="14" spans="1:12" s="84" customFormat="1" hidden="1" x14ac:dyDescent="0.25">
      <c r="B14" s="84" t="str">
        <f>'USGT 500621'!B11</f>
        <v>USGT</v>
      </c>
      <c r="C14" s="84">
        <f>'USGT 500621'!C11</f>
        <v>27268</v>
      </c>
      <c r="D14" s="84">
        <f>'USGT 500621'!$E$11</f>
        <v>500621</v>
      </c>
      <c r="E14" s="110">
        <f>'USGT 500621'!$J$11</f>
        <v>0</v>
      </c>
      <c r="F14" s="90">
        <f>'USGT 500621'!$G$46</f>
        <v>0</v>
      </c>
      <c r="G14" s="87">
        <v>0.1</v>
      </c>
      <c r="H14" s="93" t="e">
        <f t="shared" si="0"/>
        <v>#DIV/0!</v>
      </c>
      <c r="I14" s="89" t="s">
        <v>57</v>
      </c>
      <c r="J14" s="91">
        <f>'USGT 500621'!$T$45</f>
        <v>0</v>
      </c>
      <c r="K14" s="90">
        <f>'USGT 500621'!$K$42</f>
        <v>0</v>
      </c>
      <c r="L14" s="91">
        <f>'USGT 500621'!$T$47</f>
        <v>0</v>
      </c>
    </row>
    <row r="15" spans="1:12" s="85" customFormat="1" x14ac:dyDescent="0.25">
      <c r="A15" s="187">
        <v>37135</v>
      </c>
      <c r="B15" s="85" t="str">
        <f>'USGT 500622'!$B$11</f>
        <v>USGT</v>
      </c>
      <c r="C15" s="85">
        <f>'USGT 500622'!$C$11</f>
        <v>27268</v>
      </c>
      <c r="D15" s="85">
        <f>'USGT 500622'!$E$11</f>
        <v>500622</v>
      </c>
      <c r="E15" s="179">
        <f>'USGT 500622'!$J$11</f>
        <v>-722</v>
      </c>
      <c r="F15" s="86">
        <f>ABS('USGT 500622'!$G$43)</f>
        <v>722</v>
      </c>
      <c r="G15" s="93">
        <v>0.04</v>
      </c>
      <c r="H15" s="93">
        <f t="shared" si="0"/>
        <v>1.7516494459833796</v>
      </c>
      <c r="I15" s="159" t="s">
        <v>57</v>
      </c>
      <c r="J15" s="88">
        <f>'USGT 500622'!$U$45</f>
        <v>1264.6909000000001</v>
      </c>
      <c r="K15" s="86"/>
      <c r="L15" s="88">
        <f>'USGT 500622'!$U$47</f>
        <v>0</v>
      </c>
    </row>
    <row r="16" spans="1:12" s="84" customFormat="1" hidden="1" x14ac:dyDescent="0.25">
      <c r="B16" s="85" t="str">
        <f>'Duke 500621'!$B$11</f>
        <v>Duke Energy Trading &amp; Mktg</v>
      </c>
      <c r="C16" s="85">
        <f>'Duke 500621'!$C$11</f>
        <v>27266</v>
      </c>
      <c r="D16" s="85">
        <f>'Duke 500621'!$E$11</f>
        <v>500621</v>
      </c>
      <c r="E16" s="110">
        <f>'Duke 500621'!$J$11</f>
        <v>0</v>
      </c>
      <c r="F16" s="86">
        <f>'Duke 500621'!$G$46</f>
        <v>0</v>
      </c>
      <c r="G16" s="87">
        <v>0.38829999999999998</v>
      </c>
      <c r="H16" s="93" t="e">
        <f t="shared" si="0"/>
        <v>#DIV/0!</v>
      </c>
      <c r="I16" s="89" t="s">
        <v>57</v>
      </c>
      <c r="J16" s="88">
        <f>'Duke 500621'!$T$45</f>
        <v>0</v>
      </c>
      <c r="K16" s="90">
        <f>'Duke 500621'!$K$42</f>
        <v>0</v>
      </c>
      <c r="L16" s="88">
        <f>'Duke 500621'!$U$47</f>
        <v>0</v>
      </c>
    </row>
    <row r="17" spans="1:13" s="84" customFormat="1" hidden="1" x14ac:dyDescent="0.25">
      <c r="B17" s="84" t="str">
        <f>'Duke 500622'!B11</f>
        <v>Duke Energy Trading &amp; Mktg</v>
      </c>
      <c r="C17" s="84">
        <f>'Duke 500622'!C11</f>
        <v>27266</v>
      </c>
      <c r="D17" s="84">
        <f>'Duke 500622'!$E$11</f>
        <v>500622</v>
      </c>
      <c r="E17" s="110">
        <f>'Duke 500622'!$J$11</f>
        <v>0</v>
      </c>
      <c r="F17" s="86">
        <f>ABS('Duke 500622'!$G$47)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91">
        <f>'Duke 500622'!$U$46</f>
        <v>0</v>
      </c>
      <c r="K17" s="90">
        <f>'Duke 500622'!$K$42</f>
        <v>0</v>
      </c>
      <c r="L17" s="91">
        <f>'Duke 500622'!$U$46</f>
        <v>0</v>
      </c>
    </row>
    <row r="18" spans="1:13" s="84" customFormat="1" hidden="1" x14ac:dyDescent="0.25">
      <c r="B18" s="85" t="str">
        <f>'Duke 500623'!$B$11</f>
        <v>Duke Energy Trading &amp; Mktg</v>
      </c>
      <c r="C18" s="85">
        <f>'Duke 500623'!$C$11</f>
        <v>27266</v>
      </c>
      <c r="D18" s="85">
        <f>'Duke 500623'!$E$11</f>
        <v>500623</v>
      </c>
      <c r="E18" s="110">
        <f>'Duke 500623'!$J$11</f>
        <v>0</v>
      </c>
      <c r="F18" s="86">
        <f>'Duke 500623'!$G$46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88">
        <f>'Duke 500623'!$T$45</f>
        <v>0</v>
      </c>
      <c r="K18" s="90">
        <f>'Duke 500623'!$K$42</f>
        <v>0</v>
      </c>
      <c r="L18" s="88">
        <f>'Duke 500623'!$U$47</f>
        <v>0</v>
      </c>
    </row>
    <row r="19" spans="1:13" s="84" customFormat="1" hidden="1" x14ac:dyDescent="0.25">
      <c r="B19" s="85" t="str">
        <f>'PG&amp;E 500622'!$B$11</f>
        <v>PG&amp;E</v>
      </c>
      <c r="C19" s="85">
        <f>'PG&amp;E 500622'!$C$11</f>
        <v>27404</v>
      </c>
      <c r="D19" s="85">
        <f>'PG&amp;E 500622'!$E$11</f>
        <v>500622</v>
      </c>
      <c r="E19" s="110">
        <f>'PG&amp;E 500622'!$J$11</f>
        <v>0</v>
      </c>
      <c r="F19" s="86">
        <f>'PG&amp;E 500622'!$G$46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'PG&amp;E 500622'!$T$45</f>
        <v>0</v>
      </c>
      <c r="K19" s="90">
        <f>'PG&amp;E 500622'!$K$42</f>
        <v>0</v>
      </c>
      <c r="L19" s="88">
        <f>'PG&amp;E 500622'!$T$45</f>
        <v>0</v>
      </c>
    </row>
    <row r="20" spans="1:13" s="84" customFormat="1" x14ac:dyDescent="0.25">
      <c r="B20" s="85" t="str">
        <f>'Calpine 78151'!$B$11</f>
        <v>Calpine Energy Services</v>
      </c>
      <c r="C20" s="85">
        <f>'Calpine 78151'!$C$11</f>
        <v>27507</v>
      </c>
      <c r="D20" s="85">
        <f>'Calpine 78151'!$E$11</f>
        <v>78151</v>
      </c>
      <c r="E20" s="110">
        <f>'Calpine 78151'!$J$11</f>
        <v>0</v>
      </c>
      <c r="F20" s="86">
        <f>'Calpine 78151'!$G$46</f>
        <v>39000</v>
      </c>
      <c r="G20" s="87">
        <v>0.38829999999999998</v>
      </c>
      <c r="H20" s="93">
        <f t="shared" si="0"/>
        <v>0.39812697692307691</v>
      </c>
      <c r="I20" s="89" t="s">
        <v>57</v>
      </c>
      <c r="J20" s="88">
        <f>'Calpine 78151'!$T$45</f>
        <v>15526.952099999999</v>
      </c>
      <c r="K20" s="90">
        <f>'Calpine 78151'!$K$42</f>
        <v>0</v>
      </c>
      <c r="L20" s="88">
        <f>'Calpine 78151'!$U$47</f>
        <v>0</v>
      </c>
    </row>
    <row r="21" spans="1:13" s="84" customFormat="1" hidden="1" x14ac:dyDescent="0.25">
      <c r="B21" s="85" t="str">
        <f>'EES 500616'!$B$11</f>
        <v>Enron Energy Services</v>
      </c>
      <c r="C21" s="85">
        <f>'EES 500616'!$C$11</f>
        <v>27431</v>
      </c>
      <c r="D21" s="85">
        <f>'EES 500616'!$E$11</f>
        <v>500616</v>
      </c>
      <c r="E21" s="110">
        <f>'EES 500616'!$J$11</f>
        <v>0</v>
      </c>
      <c r="F21" s="86">
        <f>'EES 500616'!$G$46</f>
        <v>0</v>
      </c>
      <c r="G21" s="87">
        <v>1.3883000000000001</v>
      </c>
      <c r="H21" s="93" t="e">
        <f>J21/F21</f>
        <v>#DIV/0!</v>
      </c>
      <c r="I21" s="89" t="s">
        <v>57</v>
      </c>
      <c r="J21" s="88">
        <f>'EES 500616'!$T$45</f>
        <v>0</v>
      </c>
      <c r="K21" s="90">
        <f>'EES 500616'!$K$42</f>
        <v>0</v>
      </c>
      <c r="L21" s="88">
        <f>'EES 500616'!$U$47</f>
        <v>0</v>
      </c>
    </row>
    <row r="22" spans="1:13" s="84" customFormat="1" hidden="1" x14ac:dyDescent="0.25">
      <c r="B22" s="85" t="str">
        <f>'Richardson 500622'!$B$11</f>
        <v>Richardson</v>
      </c>
      <c r="C22" s="85">
        <f>'Richardson 500622'!$C$11</f>
        <v>27249</v>
      </c>
      <c r="D22" s="85">
        <f>'Richardson 500622'!$E$11</f>
        <v>500622</v>
      </c>
      <c r="E22" s="179">
        <f>'Richardson 500622'!$J$11</f>
        <v>0</v>
      </c>
      <c r="F22" s="86">
        <f>'Richardson 500622'!$G$46</f>
        <v>0</v>
      </c>
      <c r="G22" s="93">
        <v>0.03</v>
      </c>
      <c r="H22" s="93" t="e">
        <f t="shared" si="0"/>
        <v>#DIV/0!</v>
      </c>
      <c r="I22" s="159" t="s">
        <v>57</v>
      </c>
      <c r="J22" s="88">
        <f>'Richardson 500622'!$U$46</f>
        <v>0</v>
      </c>
      <c r="K22" s="86">
        <f>'Richardson 500622'!$K$42</f>
        <v>0</v>
      </c>
      <c r="L22" s="88">
        <f>'Richardson 500622'!$U$47</f>
        <v>0</v>
      </c>
    </row>
    <row r="23" spans="1:13" hidden="1" x14ac:dyDescent="0.25">
      <c r="A23" s="119"/>
      <c r="B23" s="84" t="str">
        <f>'Oneok 500617'!$B$11</f>
        <v>Oneok Energy Marketing</v>
      </c>
      <c r="C23" s="84">
        <f>'Oneok 500617'!$C$11</f>
        <v>27573</v>
      </c>
      <c r="D23" s="84">
        <f>'Oneok 500617'!$E$11</f>
        <v>500617</v>
      </c>
      <c r="E23" s="110">
        <f>'Oneok 500617'!$J$11</f>
        <v>0</v>
      </c>
      <c r="F23" s="86">
        <f>'Oneok 500617'!$G$46</f>
        <v>0</v>
      </c>
      <c r="G23" s="87">
        <v>0.1</v>
      </c>
      <c r="H23" s="93" t="e">
        <f>J23/F23</f>
        <v>#DIV/0!</v>
      </c>
      <c r="I23" s="89" t="s">
        <v>57</v>
      </c>
      <c r="J23" s="88">
        <f>'Oneok 500617'!$T$45</f>
        <v>0</v>
      </c>
      <c r="K23" s="90">
        <f>'Oneok 500617'!$K$42</f>
        <v>0</v>
      </c>
      <c r="L23" s="88">
        <f>'Oneok 500617'!$U$47</f>
        <v>0</v>
      </c>
    </row>
    <row r="24" spans="1:13" s="84" customFormat="1" hidden="1" x14ac:dyDescent="0.25">
      <c r="B24" s="84" t="str">
        <f>'Sempra 500622'!$B$11</f>
        <v>Sempra Energy Trading</v>
      </c>
      <c r="C24" s="84">
        <f>'Sempra 500622'!$C$11</f>
        <v>27269</v>
      </c>
      <c r="D24" s="84">
        <f>'Sempra 500622'!$E$11</f>
        <v>500622</v>
      </c>
      <c r="E24" s="90">
        <f>'Sempra 500622'!$J$11</f>
        <v>0</v>
      </c>
      <c r="F24" s="90">
        <f>'Sempra 500622'!$G$48</f>
        <v>0</v>
      </c>
      <c r="G24" s="87">
        <v>0.1</v>
      </c>
      <c r="H24" s="93" t="e">
        <f>J24/F24</f>
        <v>#DIV/0!</v>
      </c>
      <c r="I24" s="89" t="s">
        <v>57</v>
      </c>
      <c r="J24" s="91">
        <f>'Sempra 500622'!$U$46</f>
        <v>0</v>
      </c>
      <c r="K24" s="90">
        <f>'Sempra 500622'!$K$42</f>
        <v>0</v>
      </c>
      <c r="L24" s="91">
        <f>'Sempra 500622'!$U$47</f>
        <v>0</v>
      </c>
    </row>
    <row r="25" spans="1:13" s="84" customFormat="1" hidden="1" x14ac:dyDescent="0.25">
      <c r="B25" s="84" t="str">
        <f>'Astra 500622'!B11</f>
        <v>Astra Power</v>
      </c>
      <c r="C25" s="84">
        <f>'Astra 500622'!C11</f>
        <v>27502</v>
      </c>
      <c r="D25" s="84">
        <f>'Astra 500622'!$E$11</f>
        <v>500622</v>
      </c>
      <c r="E25" s="90">
        <f>'Astra 500622'!$J$11</f>
        <v>0</v>
      </c>
      <c r="F25" s="90">
        <f>'Astra 500622'!$G$48</f>
        <v>0</v>
      </c>
      <c r="G25" s="87">
        <v>0.1</v>
      </c>
      <c r="H25" s="93" t="e">
        <f>J25/F25</f>
        <v>#DIV/0!</v>
      </c>
      <c r="I25" s="89" t="s">
        <v>57</v>
      </c>
      <c r="J25" s="91">
        <f>'Astra 500622'!$U$46</f>
        <v>0</v>
      </c>
      <c r="K25" s="90">
        <f>'Astra 500622'!$K$42</f>
        <v>0</v>
      </c>
      <c r="L25" s="91">
        <f>'Astra 500622'!$U$48</f>
        <v>0</v>
      </c>
    </row>
    <row r="26" spans="1:13" x14ac:dyDescent="0.25">
      <c r="L26" s="94"/>
    </row>
    <row r="27" spans="1:13" ht="13.8" thickBot="1" x14ac:dyDescent="0.3">
      <c r="B27" s="80" t="s">
        <v>53</v>
      </c>
      <c r="C27" s="80"/>
      <c r="D27" s="80"/>
      <c r="E27" s="80"/>
      <c r="F27" s="81">
        <f>SUM(F7:F26)</f>
        <v>39722</v>
      </c>
      <c r="G27" s="80"/>
      <c r="H27" s="80"/>
      <c r="I27" s="80"/>
      <c r="J27" s="82">
        <f>SUM(J7:J26)</f>
        <v>16791.643</v>
      </c>
      <c r="K27" s="94"/>
      <c r="L27" s="82">
        <f>SUM(L9:L24)</f>
        <v>0</v>
      </c>
    </row>
    <row r="28" spans="1:13" ht="13.8" thickTop="1" x14ac:dyDescent="0.25"/>
    <row r="29" spans="1:13" x14ac:dyDescent="0.25">
      <c r="H29" s="113" t="s">
        <v>84</v>
      </c>
      <c r="I29" s="114"/>
      <c r="J29" s="115">
        <f>J27/F27</f>
        <v>0.42272904184079352</v>
      </c>
    </row>
    <row r="30" spans="1:13" x14ac:dyDescent="0.25">
      <c r="A30" s="79"/>
      <c r="L30" s="66"/>
    </row>
    <row r="31" spans="1:13" ht="13.8" thickBot="1" x14ac:dyDescent="0.3">
      <c r="B31" s="193" t="s">
        <v>103</v>
      </c>
      <c r="C31" s="193"/>
      <c r="D31" s="193"/>
      <c r="E31" s="193"/>
      <c r="F31" s="193"/>
      <c r="G31" s="193"/>
      <c r="H31" s="193"/>
      <c r="I31" s="193"/>
      <c r="J31" s="193"/>
      <c r="K31" s="193"/>
    </row>
    <row r="32" spans="1:13" ht="13.8" thickBot="1" x14ac:dyDescent="0.3">
      <c r="B32" s="112"/>
      <c r="C32" s="158"/>
      <c r="D32" s="190"/>
      <c r="E32" s="192" t="s">
        <v>81</v>
      </c>
      <c r="F32" s="191"/>
      <c r="H32" s="194" t="s">
        <v>82</v>
      </c>
      <c r="I32" s="195"/>
      <c r="L32" s="159"/>
      <c r="M32" s="181"/>
    </row>
    <row r="33" spans="2:13" ht="13.8" thickBot="1" x14ac:dyDescent="0.3">
      <c r="B33" s="117" t="s">
        <v>79</v>
      </c>
      <c r="C33" s="118" t="s">
        <v>80</v>
      </c>
      <c r="D33" s="155" t="s">
        <v>101</v>
      </c>
      <c r="E33" s="189">
        <v>37141</v>
      </c>
      <c r="F33" s="133" t="s">
        <v>102</v>
      </c>
      <c r="G33" s="182"/>
      <c r="H33" s="155" t="s">
        <v>101</v>
      </c>
      <c r="I33" s="155" t="s">
        <v>104</v>
      </c>
      <c r="L33" s="182"/>
      <c r="M33" s="181"/>
    </row>
    <row r="34" spans="2:13" x14ac:dyDescent="0.25">
      <c r="B34" s="164" t="s">
        <v>65</v>
      </c>
      <c r="C34" s="165">
        <v>500615</v>
      </c>
      <c r="D34" s="166" t="s">
        <v>77</v>
      </c>
      <c r="E34" s="167" t="s">
        <v>77</v>
      </c>
      <c r="F34" s="166" t="s">
        <v>77</v>
      </c>
      <c r="G34" s="183"/>
      <c r="H34" s="176" t="s">
        <v>78</v>
      </c>
      <c r="I34" s="176" t="s">
        <v>78</v>
      </c>
      <c r="L34" s="183"/>
      <c r="M34" s="181"/>
    </row>
    <row r="35" spans="2:13" x14ac:dyDescent="0.25">
      <c r="B35" s="168" t="s">
        <v>66</v>
      </c>
      <c r="C35" s="161">
        <v>500616</v>
      </c>
      <c r="D35" s="162" t="s">
        <v>77</v>
      </c>
      <c r="E35" s="163" t="s">
        <v>78</v>
      </c>
      <c r="F35" s="162" t="s">
        <v>78</v>
      </c>
      <c r="G35" s="183"/>
      <c r="H35" s="177" t="s">
        <v>78</v>
      </c>
      <c r="I35" s="177" t="s">
        <v>78</v>
      </c>
      <c r="L35" s="183"/>
      <c r="M35" s="181"/>
    </row>
    <row r="36" spans="2:13" x14ac:dyDescent="0.25">
      <c r="B36" s="168" t="s">
        <v>67</v>
      </c>
      <c r="C36" s="161">
        <v>500617</v>
      </c>
      <c r="D36" s="162" t="s">
        <v>77</v>
      </c>
      <c r="E36" s="169">
        <v>0.1</v>
      </c>
      <c r="F36" s="170">
        <v>0.15</v>
      </c>
      <c r="G36" s="184"/>
      <c r="H36" s="177" t="s">
        <v>78</v>
      </c>
      <c r="I36" s="170">
        <v>0.1</v>
      </c>
      <c r="L36" s="184"/>
      <c r="M36" s="181"/>
    </row>
    <row r="37" spans="2:13" x14ac:dyDescent="0.25">
      <c r="B37" s="160" t="s">
        <v>68</v>
      </c>
      <c r="C37" s="161">
        <v>500621</v>
      </c>
      <c r="D37" s="162" t="s">
        <v>77</v>
      </c>
      <c r="E37" s="169">
        <v>0.1</v>
      </c>
      <c r="F37" s="170">
        <v>0.15</v>
      </c>
      <c r="G37" s="184"/>
      <c r="H37" s="177" t="s">
        <v>78</v>
      </c>
      <c r="I37" s="170">
        <v>0.1</v>
      </c>
      <c r="L37" s="184"/>
      <c r="M37" s="181"/>
    </row>
    <row r="38" spans="2:13" x14ac:dyDescent="0.25">
      <c r="B38" s="160" t="s">
        <v>69</v>
      </c>
      <c r="C38" s="161">
        <v>500622</v>
      </c>
      <c r="D38" s="162" t="s">
        <v>77</v>
      </c>
      <c r="E38" s="169">
        <v>0.1</v>
      </c>
      <c r="F38" s="170">
        <v>0.15</v>
      </c>
      <c r="G38" s="184"/>
      <c r="H38" s="177" t="s">
        <v>78</v>
      </c>
      <c r="I38" s="170">
        <v>0.1</v>
      </c>
      <c r="L38" s="184"/>
      <c r="M38" s="181"/>
    </row>
    <row r="39" spans="2:13" x14ac:dyDescent="0.25">
      <c r="B39" s="160" t="s">
        <v>70</v>
      </c>
      <c r="C39" s="161">
        <v>500623</v>
      </c>
      <c r="D39" s="162" t="s">
        <v>77</v>
      </c>
      <c r="E39" s="169">
        <v>0.1</v>
      </c>
      <c r="F39" s="170">
        <v>0.15</v>
      </c>
      <c r="G39" s="184"/>
      <c r="H39" s="177" t="s">
        <v>78</v>
      </c>
      <c r="I39" s="170">
        <v>0.1</v>
      </c>
      <c r="L39" s="184"/>
      <c r="M39" s="181"/>
    </row>
    <row r="40" spans="2:13" x14ac:dyDescent="0.25">
      <c r="B40" s="160" t="s">
        <v>71</v>
      </c>
      <c r="C40" s="161">
        <v>500624</v>
      </c>
      <c r="D40" s="162" t="s">
        <v>77</v>
      </c>
      <c r="E40" s="163" t="s">
        <v>78</v>
      </c>
      <c r="F40" s="162" t="s">
        <v>78</v>
      </c>
      <c r="G40" s="183"/>
      <c r="H40" s="177" t="s">
        <v>78</v>
      </c>
      <c r="I40" s="162" t="s">
        <v>78</v>
      </c>
      <c r="L40" s="183"/>
      <c r="M40" s="181"/>
    </row>
    <row r="41" spans="2:13" x14ac:dyDescent="0.25">
      <c r="B41" s="160" t="s">
        <v>72</v>
      </c>
      <c r="C41" s="161">
        <v>500625</v>
      </c>
      <c r="D41" s="162" t="s">
        <v>77</v>
      </c>
      <c r="E41" s="169">
        <v>0.1</v>
      </c>
      <c r="F41" s="170">
        <v>0.15</v>
      </c>
      <c r="G41" s="184"/>
      <c r="H41" s="177" t="s">
        <v>78</v>
      </c>
      <c r="I41" s="170">
        <v>0.1</v>
      </c>
      <c r="L41" s="184"/>
      <c r="M41" s="181"/>
    </row>
    <row r="42" spans="2:13" x14ac:dyDescent="0.25">
      <c r="B42" s="168" t="s">
        <v>73</v>
      </c>
      <c r="C42" s="171">
        <v>500626</v>
      </c>
      <c r="D42" s="162" t="s">
        <v>77</v>
      </c>
      <c r="E42" s="169">
        <v>0.1</v>
      </c>
      <c r="F42" s="170">
        <v>0.15</v>
      </c>
      <c r="G42" s="184"/>
      <c r="H42" s="177" t="s">
        <v>78</v>
      </c>
      <c r="I42" s="170">
        <v>0.1</v>
      </c>
      <c r="L42" s="184"/>
      <c r="M42" s="181"/>
    </row>
    <row r="43" spans="2:13" x14ac:dyDescent="0.25">
      <c r="B43" s="160" t="s">
        <v>74</v>
      </c>
      <c r="C43" s="161">
        <v>500627</v>
      </c>
      <c r="D43" s="162" t="s">
        <v>77</v>
      </c>
      <c r="E43" s="169">
        <v>0.1</v>
      </c>
      <c r="F43" s="170">
        <v>0.15</v>
      </c>
      <c r="G43" s="184"/>
      <c r="H43" s="177" t="s">
        <v>78</v>
      </c>
      <c r="I43" s="170">
        <v>0.1</v>
      </c>
      <c r="L43" s="184"/>
      <c r="M43" s="181"/>
    </row>
    <row r="44" spans="2:13" x14ac:dyDescent="0.25">
      <c r="B44" s="160" t="s">
        <v>75</v>
      </c>
      <c r="C44" s="161">
        <v>500628</v>
      </c>
      <c r="D44" s="162" t="s">
        <v>77</v>
      </c>
      <c r="E44" s="169">
        <v>0.1</v>
      </c>
      <c r="F44" s="170">
        <v>0.15</v>
      </c>
      <c r="G44" s="184"/>
      <c r="H44" s="177" t="s">
        <v>78</v>
      </c>
      <c r="I44" s="170">
        <v>0.1</v>
      </c>
      <c r="L44" s="184"/>
      <c r="M44" s="181"/>
    </row>
    <row r="45" spans="2:13" x14ac:dyDescent="0.25">
      <c r="B45" s="160" t="s">
        <v>76</v>
      </c>
      <c r="C45" s="161">
        <v>500629</v>
      </c>
      <c r="D45" s="162" t="s">
        <v>77</v>
      </c>
      <c r="E45" s="169">
        <v>0.1</v>
      </c>
      <c r="F45" s="170">
        <v>0.15</v>
      </c>
      <c r="G45" s="184"/>
      <c r="H45" s="177" t="s">
        <v>78</v>
      </c>
      <c r="I45" s="170">
        <v>0.1</v>
      </c>
      <c r="L45" s="184"/>
      <c r="M45" s="181"/>
    </row>
    <row r="46" spans="2:13" x14ac:dyDescent="0.25">
      <c r="B46" s="160" t="s">
        <v>87</v>
      </c>
      <c r="C46" s="161">
        <v>78149</v>
      </c>
      <c r="D46" s="162" t="s">
        <v>77</v>
      </c>
      <c r="E46" s="163" t="s">
        <v>78</v>
      </c>
      <c r="F46" s="162" t="s">
        <v>78</v>
      </c>
      <c r="G46" s="183"/>
      <c r="H46" s="177" t="s">
        <v>78</v>
      </c>
      <c r="I46" s="162" t="s">
        <v>78</v>
      </c>
      <c r="L46" s="183"/>
      <c r="M46" s="181"/>
    </row>
    <row r="47" spans="2:13" x14ac:dyDescent="0.25">
      <c r="B47" s="160" t="s">
        <v>88</v>
      </c>
      <c r="C47" s="161">
        <v>78150</v>
      </c>
      <c r="D47" s="162" t="s">
        <v>77</v>
      </c>
      <c r="E47" s="163" t="s">
        <v>78</v>
      </c>
      <c r="F47" s="162" t="s">
        <v>78</v>
      </c>
      <c r="G47" s="183"/>
      <c r="H47" s="177" t="s">
        <v>78</v>
      </c>
      <c r="I47" s="162" t="s">
        <v>78</v>
      </c>
      <c r="L47" s="183"/>
      <c r="M47" s="181"/>
    </row>
    <row r="48" spans="2:13" ht="13.8" thickBot="1" x14ac:dyDescent="0.3">
      <c r="B48" s="172" t="s">
        <v>89</v>
      </c>
      <c r="C48" s="173">
        <v>78151</v>
      </c>
      <c r="D48" s="174" t="s">
        <v>77</v>
      </c>
      <c r="E48" s="175" t="s">
        <v>78</v>
      </c>
      <c r="F48" s="174" t="s">
        <v>78</v>
      </c>
      <c r="G48" s="183"/>
      <c r="H48" s="178" t="s">
        <v>78</v>
      </c>
      <c r="I48" s="174" t="s">
        <v>78</v>
      </c>
      <c r="L48" s="183"/>
      <c r="M48" s="181"/>
    </row>
    <row r="50" spans="2:2" x14ac:dyDescent="0.25">
      <c r="B50" s="142" t="s">
        <v>93</v>
      </c>
    </row>
  </sheetData>
  <mergeCells count="2">
    <mergeCell ref="B31:K31"/>
    <mergeCell ref="H32:I32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2" width="9.109375" style="12"/>
    <col min="23" max="23" width="11.33203125" style="12" bestFit="1" customWidth="1"/>
    <col min="24" max="25" width="9.109375" style="12"/>
    <col min="26" max="26" width="12" style="12" customWidth="1"/>
    <col min="27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97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5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201" t="s">
        <v>43</v>
      </c>
      <c r="N46" s="202"/>
      <c r="O46" s="202"/>
      <c r="P46" s="202"/>
      <c r="Q46" s="202"/>
      <c r="R46" s="202"/>
      <c r="S46" s="202"/>
      <c r="T46" s="203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94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94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94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64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M45" s="196" t="s">
        <v>43</v>
      </c>
      <c r="N45" s="197"/>
      <c r="O45" s="197"/>
      <c r="P45" s="197"/>
      <c r="Q45" s="197"/>
      <c r="R45" s="197"/>
      <c r="S45" s="197"/>
      <c r="T45" s="198"/>
      <c r="U45" s="57">
        <f>ABS(U43)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G46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96" t="s">
        <v>43</v>
      </c>
      <c r="N46" s="197"/>
      <c r="O46" s="197"/>
      <c r="P46" s="197"/>
      <c r="Q46" s="197"/>
      <c r="R46" s="197"/>
      <c r="S46" s="197"/>
      <c r="T46" s="198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x14ac:dyDescent="0.25">
      <c r="A49" s="16"/>
      <c r="C49" s="96"/>
      <c r="D49" s="95"/>
      <c r="N49" s="35"/>
      <c r="O49" s="38"/>
      <c r="S49" s="37"/>
      <c r="T49" s="38"/>
    </row>
    <row r="50" spans="1:20" x14ac:dyDescent="0.25">
      <c r="A50" s="16"/>
      <c r="N50" s="38"/>
      <c r="O50" s="76"/>
      <c r="S50" s="37"/>
      <c r="T50" s="38"/>
    </row>
    <row r="51" spans="1:20" x14ac:dyDescent="0.25">
      <c r="A51" s="16"/>
      <c r="N51" s="38"/>
      <c r="O51" s="76"/>
    </row>
    <row r="52" spans="1:20" x14ac:dyDescent="0.25">
      <c r="A52" s="16"/>
      <c r="N52" s="38"/>
      <c r="O52" s="76"/>
    </row>
    <row r="53" spans="1:20" x14ac:dyDescent="0.25">
      <c r="A53" s="16"/>
      <c r="N53" s="38"/>
      <c r="O53" s="36"/>
    </row>
    <row r="54" spans="1:20" x14ac:dyDescent="0.25">
      <c r="A54" s="16"/>
    </row>
    <row r="55" spans="1:20" x14ac:dyDescent="0.25">
      <c r="A55" s="16"/>
      <c r="N55" s="45"/>
      <c r="O55" s="46"/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59</v>
      </c>
      <c r="C11" s="14">
        <v>27467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96" t="s">
        <v>43</v>
      </c>
      <c r="N46" s="197"/>
      <c r="O46" s="197"/>
      <c r="P46" s="197"/>
      <c r="Q46" s="197"/>
      <c r="R46" s="197"/>
      <c r="S46" s="197"/>
      <c r="T46" s="198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96" t="s">
        <v>43</v>
      </c>
      <c r="N46" s="197"/>
      <c r="O46" s="197"/>
      <c r="P46" s="197"/>
      <c r="Q46" s="197"/>
      <c r="R46" s="197"/>
      <c r="S46" s="197"/>
      <c r="T46" s="198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D1" workbookViewId="0">
      <selection activeCell="B3" sqref="B3:T3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109375" style="12" customWidth="1"/>
    <col min="21" max="21" width="13.6640625" style="12" customWidth="1"/>
    <col min="22" max="22" width="13" style="12" customWidth="1"/>
    <col min="23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6" spans="1:23" x14ac:dyDescent="0.25">
      <c r="T6" s="51">
        <f>IF(K6&gt;0,K6*L6,0)</f>
        <v>0</v>
      </c>
    </row>
    <row r="8" spans="1:23" x14ac:dyDescent="0.25">
      <c r="U8" s="4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37135</v>
      </c>
      <c r="E11" s="16">
        <v>500622</v>
      </c>
      <c r="F11" s="17" t="s">
        <v>21</v>
      </c>
      <c r="G11" s="18"/>
      <c r="H11" s="18"/>
      <c r="I11" s="18"/>
      <c r="J11" s="18">
        <v>-722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-722</v>
      </c>
      <c r="R11" s="20">
        <f>+P11</f>
        <v>0</v>
      </c>
      <c r="S11" s="20">
        <f>+Q11</f>
        <v>-722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-722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-722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-722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-722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-280.3526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-722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-722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-280.3526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-722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-722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-280.3526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-722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-722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-280.3526</v>
      </c>
    </row>
    <row r="17" spans="1:22" s="120" customFormat="1" x14ac:dyDescent="0.25">
      <c r="A17" s="16">
        <v>6</v>
      </c>
      <c r="B17" s="21"/>
      <c r="C17" s="16"/>
      <c r="D17" s="26"/>
      <c r="E17" s="16"/>
      <c r="F17" s="21"/>
      <c r="G17" s="22">
        <v>387</v>
      </c>
      <c r="H17" s="22"/>
      <c r="I17" s="23">
        <f t="shared" si="2"/>
        <v>387</v>
      </c>
      <c r="J17" s="23"/>
      <c r="K17" s="23">
        <f t="shared" si="7"/>
        <v>-335</v>
      </c>
      <c r="L17" s="156">
        <v>0.38300000000000001</v>
      </c>
      <c r="M17" s="156">
        <v>0.38829999999999998</v>
      </c>
      <c r="N17" s="123">
        <f t="shared" si="0"/>
        <v>148.221</v>
      </c>
      <c r="O17" s="123">
        <f t="shared" si="1"/>
        <v>0</v>
      </c>
      <c r="P17" s="124">
        <f t="shared" si="3"/>
        <v>0</v>
      </c>
      <c r="Q17" s="124">
        <f t="shared" si="4"/>
        <v>-335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-130.0805</v>
      </c>
    </row>
    <row r="18" spans="1:22" s="120" customFormat="1" x14ac:dyDescent="0.25">
      <c r="A18" s="16">
        <v>7</v>
      </c>
      <c r="B18" s="21"/>
      <c r="C18" s="16"/>
      <c r="D18" s="26"/>
      <c r="E18" s="16"/>
      <c r="F18" s="21"/>
      <c r="G18" s="22">
        <v>269</v>
      </c>
      <c r="H18" s="22"/>
      <c r="I18" s="23">
        <f t="shared" si="2"/>
        <v>269</v>
      </c>
      <c r="J18" s="23"/>
      <c r="K18" s="23">
        <f t="shared" si="7"/>
        <v>-66</v>
      </c>
      <c r="L18" s="157">
        <v>0.1</v>
      </c>
      <c r="M18" s="157">
        <v>0.1</v>
      </c>
      <c r="N18" s="123">
        <f t="shared" si="0"/>
        <v>26.900000000000002</v>
      </c>
      <c r="O18" s="123">
        <f t="shared" si="1"/>
        <v>0</v>
      </c>
      <c r="P18" s="124">
        <f t="shared" si="3"/>
        <v>0</v>
      </c>
      <c r="Q18" s="124">
        <f t="shared" si="4"/>
        <v>-66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-6.6000000000000005</v>
      </c>
    </row>
    <row r="19" spans="1:22" s="120" customFormat="1" x14ac:dyDescent="0.25">
      <c r="A19" s="16">
        <v>8</v>
      </c>
      <c r="B19" s="21"/>
      <c r="C19" s="78"/>
      <c r="D19" s="26"/>
      <c r="E19" s="16"/>
      <c r="F19" s="21"/>
      <c r="G19" s="22">
        <v>22</v>
      </c>
      <c r="H19" s="22"/>
      <c r="I19" s="23">
        <f t="shared" si="2"/>
        <v>22</v>
      </c>
      <c r="J19" s="23"/>
      <c r="K19" s="23">
        <f t="shared" si="7"/>
        <v>-44</v>
      </c>
      <c r="L19" s="188">
        <v>0.15</v>
      </c>
      <c r="M19" s="157">
        <v>0.1</v>
      </c>
      <c r="N19" s="123">
        <f t="shared" si="0"/>
        <v>3.3</v>
      </c>
      <c r="O19" s="123">
        <f t="shared" si="1"/>
        <v>0</v>
      </c>
      <c r="P19" s="124">
        <f t="shared" si="3"/>
        <v>0</v>
      </c>
      <c r="Q19" s="124">
        <f t="shared" si="4"/>
        <v>-44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-4.4000000000000004</v>
      </c>
    </row>
    <row r="20" spans="1:22" s="120" customFormat="1" x14ac:dyDescent="0.25">
      <c r="A20" s="16">
        <v>9</v>
      </c>
      <c r="B20" s="21"/>
      <c r="C20" s="16"/>
      <c r="D20" s="26"/>
      <c r="E20" s="16"/>
      <c r="F20" s="21"/>
      <c r="G20" s="22">
        <v>22</v>
      </c>
      <c r="H20" s="22"/>
      <c r="I20" s="23">
        <f t="shared" si="2"/>
        <v>22</v>
      </c>
      <c r="J20" s="23"/>
      <c r="K20" s="23">
        <f t="shared" si="7"/>
        <v>-22</v>
      </c>
      <c r="L20" s="188">
        <v>0.15</v>
      </c>
      <c r="M20" s="157">
        <v>0.1</v>
      </c>
      <c r="N20" s="123">
        <f t="shared" si="0"/>
        <v>3.3</v>
      </c>
      <c r="O20" s="123">
        <f t="shared" si="1"/>
        <v>0</v>
      </c>
      <c r="P20" s="124">
        <f t="shared" si="3"/>
        <v>0</v>
      </c>
      <c r="Q20" s="124">
        <f t="shared" si="4"/>
        <v>-22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-2.2000000000000002</v>
      </c>
    </row>
    <row r="21" spans="1:22" x14ac:dyDescent="0.25">
      <c r="A21" s="16">
        <v>10</v>
      </c>
      <c r="B21" s="16"/>
      <c r="C21" s="16"/>
      <c r="D21" s="26"/>
      <c r="E21" s="16"/>
      <c r="F21" s="16"/>
      <c r="G21" s="23">
        <v>22</v>
      </c>
      <c r="H21" s="23"/>
      <c r="I21" s="23">
        <f t="shared" si="2"/>
        <v>22</v>
      </c>
      <c r="J21" s="23"/>
      <c r="K21" s="23">
        <f t="shared" si="7"/>
        <v>0</v>
      </c>
      <c r="L21" s="188">
        <v>0.15</v>
      </c>
      <c r="M21" s="157">
        <v>0.1</v>
      </c>
      <c r="N21" s="25">
        <f t="shared" si="0"/>
        <v>3.3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88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88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88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86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86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86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80">
        <f>ABS(SUM(U24:U26))</f>
        <v>0</v>
      </c>
    </row>
    <row r="28" spans="1:22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86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86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86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86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86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86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86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80">
        <f>ABS(SUM(U40:U42))</f>
        <v>0</v>
      </c>
    </row>
    <row r="43" spans="1:22" x14ac:dyDescent="0.25">
      <c r="A43" s="16" t="s">
        <v>22</v>
      </c>
      <c r="E43"/>
      <c r="F43"/>
      <c r="G43" s="1">
        <f>SUM(G12:G42)</f>
        <v>722</v>
      </c>
      <c r="H43" s="1">
        <f>SUM(H12:H42)</f>
        <v>0</v>
      </c>
      <c r="I43" s="1">
        <f>+SUM(I12:I42)</f>
        <v>722</v>
      </c>
      <c r="N43" s="31">
        <f t="shared" ref="N43:T43" si="10">SUM(N12:N42)</f>
        <v>185.02100000000004</v>
      </c>
      <c r="O43" s="31">
        <f t="shared" si="10"/>
        <v>0</v>
      </c>
      <c r="P43" s="31">
        <f t="shared" si="10"/>
        <v>0</v>
      </c>
      <c r="Q43" s="31">
        <f t="shared" si="10"/>
        <v>-4077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1264.6909000000001</v>
      </c>
    </row>
    <row r="44" spans="1:22" ht="13.8" thickBot="1" x14ac:dyDescent="0.3">
      <c r="A44" s="16"/>
      <c r="E44"/>
      <c r="F44"/>
      <c r="G44"/>
    </row>
    <row r="45" spans="1:22" ht="13.8" thickBot="1" x14ac:dyDescent="0.3">
      <c r="A45" s="16"/>
      <c r="E45"/>
      <c r="F45"/>
      <c r="G45"/>
      <c r="M45" s="196" t="s">
        <v>43</v>
      </c>
      <c r="N45" s="197"/>
      <c r="O45" s="197"/>
      <c r="P45" s="197"/>
      <c r="Q45" s="197"/>
      <c r="R45" s="197"/>
      <c r="S45" s="197"/>
      <c r="T45" s="198"/>
      <c r="U45" s="111">
        <f>T43+(ABS((U43)))</f>
        <v>1264.6909000000001</v>
      </c>
      <c r="V45" s="130">
        <f>SUM(V27:V42)</f>
        <v>0</v>
      </c>
    </row>
    <row r="46" spans="1:22" x14ac:dyDescent="0.25">
      <c r="A46" s="16"/>
      <c r="E46" s="34" t="s">
        <v>24</v>
      </c>
      <c r="G46" s="30">
        <f>+G43</f>
        <v>722</v>
      </c>
      <c r="U46" s="100"/>
    </row>
    <row r="47" spans="1:22" x14ac:dyDescent="0.25">
      <c r="A47" s="16"/>
      <c r="E47" s="34" t="s">
        <v>25</v>
      </c>
      <c r="G47" s="30">
        <f>+H43</f>
        <v>0</v>
      </c>
      <c r="L47" s="200" t="s">
        <v>96</v>
      </c>
      <c r="M47" s="200"/>
      <c r="N47" s="200"/>
      <c r="O47" s="200"/>
      <c r="P47" s="200"/>
      <c r="Q47" s="200"/>
      <c r="R47" s="200"/>
      <c r="S47" s="200"/>
      <c r="T47" s="200"/>
      <c r="U47" s="185"/>
    </row>
    <row r="48" spans="1:22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9.2416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 t="e">
        <f>0.0761*#REF!</f>
        <v>#REF!</v>
      </c>
    </row>
    <row r="53" spans="1:20" x14ac:dyDescent="0.25">
      <c r="A53" s="16"/>
      <c r="N53" s="43" t="s">
        <v>30</v>
      </c>
      <c r="O53" s="44" t="e">
        <f>SUM(O50:O52)</f>
        <v>#REF!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MIN(O53,O45)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9.109375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3" width="9.109375" style="12"/>
    <col min="24" max="24" width="11.33203125" style="12" bestFit="1" customWidth="1"/>
    <col min="25" max="25" width="9.109375" style="12"/>
    <col min="26" max="26" width="10.6640625" style="12" bestFit="1" customWidth="1"/>
    <col min="27" max="16384" width="9.109375" style="12"/>
  </cols>
  <sheetData>
    <row r="9" spans="1:26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5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8" thickBot="1" x14ac:dyDescent="0.3">
      <c r="A44" s="16"/>
      <c r="E44"/>
      <c r="F44"/>
      <c r="G44"/>
    </row>
    <row r="45" spans="1:26" ht="13.8" thickBot="1" x14ac:dyDescent="0.3">
      <c r="A45" s="16"/>
      <c r="E45"/>
      <c r="F45"/>
      <c r="G45"/>
      <c r="H45" s="61" t="s">
        <v>42</v>
      </c>
      <c r="I45" s="205" t="s">
        <v>41</v>
      </c>
      <c r="J45" s="206"/>
      <c r="R45" s="33" t="s">
        <v>23</v>
      </c>
      <c r="S45" s="20">
        <f>+R43-S43</f>
        <v>0</v>
      </c>
      <c r="X45" s="34"/>
    </row>
    <row r="46" spans="1:26" x14ac:dyDescent="0.25">
      <c r="A46" s="16"/>
      <c r="E46" s="34" t="s">
        <v>24</v>
      </c>
      <c r="G46" s="30">
        <f>+G43</f>
        <v>0</v>
      </c>
      <c r="H46" s="59"/>
      <c r="I46" s="209"/>
      <c r="J46" s="210"/>
      <c r="N46" s="35"/>
      <c r="O46" s="36"/>
      <c r="S46" s="37"/>
      <c r="T46" s="38"/>
    </row>
    <row r="47" spans="1:26" ht="13.8" thickBot="1" x14ac:dyDescent="0.3">
      <c r="A47" s="16"/>
      <c r="E47" s="34" t="s">
        <v>25</v>
      </c>
      <c r="G47" s="30">
        <f>+H43</f>
        <v>0</v>
      </c>
      <c r="H47" s="60">
        <v>0.1</v>
      </c>
      <c r="I47" s="207">
        <f>G46*H47</f>
        <v>0</v>
      </c>
      <c r="J47" s="208"/>
      <c r="N47" s="38"/>
      <c r="O47" s="38"/>
      <c r="S47" s="37"/>
      <c r="T47" s="38"/>
    </row>
    <row r="48" spans="1:26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L45" s="200"/>
      <c r="M45" s="200"/>
      <c r="N45" s="200"/>
      <c r="O45" s="200"/>
      <c r="P45" s="200"/>
      <c r="Q45" s="200"/>
      <c r="R45" s="200"/>
      <c r="S45" s="200"/>
      <c r="T45" s="68"/>
    </row>
    <row r="46" spans="1:21" ht="13.8" thickBot="1" x14ac:dyDescent="0.3">
      <c r="A46" s="16"/>
      <c r="E46" s="34" t="s">
        <v>24</v>
      </c>
      <c r="G46" s="30">
        <f>+G43</f>
        <v>0</v>
      </c>
      <c r="L46" s="201" t="s">
        <v>43</v>
      </c>
      <c r="M46" s="202"/>
      <c r="N46" s="202"/>
      <c r="O46" s="202"/>
      <c r="P46" s="202"/>
      <c r="Q46" s="202"/>
      <c r="R46" s="202"/>
      <c r="S46" s="203"/>
      <c r="T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bestFit="1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5">
      <c r="A44" s="16"/>
      <c r="E44"/>
      <c r="F44"/>
      <c r="G44"/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9.109375" style="20"/>
    <col min="17" max="17" width="11.6640625" style="20" customWidth="1"/>
    <col min="18" max="18" width="12.109375" style="20" customWidth="1"/>
    <col min="19" max="19" width="11.44140625" style="20" customWidth="1"/>
    <col min="20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8" thickBot="1" x14ac:dyDescent="0.3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8" thickTop="1" x14ac:dyDescent="0.25">
      <c r="A44" s="16"/>
      <c r="E44"/>
      <c r="F44"/>
      <c r="G44"/>
    </row>
    <row r="45" spans="1:20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W51" sqref="W5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33203125" style="12" customWidth="1"/>
    <col min="21" max="21" width="11.109375" style="12" customWidth="1"/>
    <col min="22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90</v>
      </c>
      <c r="C11" s="14">
        <v>27507</v>
      </c>
      <c r="D11" s="99">
        <v>37135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>
        <v>-26000</v>
      </c>
      <c r="I28" s="23">
        <f t="shared" si="2"/>
        <v>-26000</v>
      </c>
      <c r="J28" s="23"/>
      <c r="K28" s="23">
        <f t="shared" si="8"/>
        <v>-26000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10095.799999999999</v>
      </c>
      <c r="P28" s="20">
        <f t="shared" si="3"/>
        <v>0</v>
      </c>
      <c r="Q28" s="20">
        <f t="shared" si="4"/>
        <v>-26000</v>
      </c>
      <c r="R28" s="20">
        <f t="shared" si="5"/>
        <v>0</v>
      </c>
      <c r="S28" s="20">
        <f t="shared" si="6"/>
        <v>-26000</v>
      </c>
      <c r="T28" s="51">
        <f t="shared" si="9"/>
        <v>0</v>
      </c>
      <c r="U28" s="49">
        <f t="shared" si="7"/>
        <v>-10095.799999999999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>
        <v>25013</v>
      </c>
      <c r="H29" s="23"/>
      <c r="I29" s="23">
        <f t="shared" si="2"/>
        <v>25013</v>
      </c>
      <c r="J29" s="23"/>
      <c r="K29" s="23">
        <f t="shared" si="8"/>
        <v>-987</v>
      </c>
      <c r="L29" s="24">
        <v>0.38829999999999998</v>
      </c>
      <c r="M29" s="24">
        <v>0.38829999999999998</v>
      </c>
      <c r="N29" s="25">
        <f t="shared" si="0"/>
        <v>9712.5478999999996</v>
      </c>
      <c r="O29" s="25">
        <f t="shared" si="1"/>
        <v>0</v>
      </c>
      <c r="P29" s="20">
        <f t="shared" si="3"/>
        <v>0</v>
      </c>
      <c r="Q29" s="20">
        <f t="shared" si="4"/>
        <v>-987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-383.25209999999998</v>
      </c>
    </row>
    <row r="30" spans="1:21" s="120" customFormat="1" x14ac:dyDescent="0.25">
      <c r="A30" s="16">
        <v>19</v>
      </c>
      <c r="B30" s="16"/>
      <c r="C30" s="16"/>
      <c r="D30" s="26"/>
      <c r="E30" s="16"/>
      <c r="F30" s="16"/>
      <c r="G30" s="23">
        <v>987</v>
      </c>
      <c r="H30" s="23"/>
      <c r="I30" s="23">
        <f t="shared" si="2"/>
        <v>987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383.25209999999998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>
        <v>-7000</v>
      </c>
      <c r="I31" s="23">
        <f t="shared" si="2"/>
        <v>-7000</v>
      </c>
      <c r="J31" s="23"/>
      <c r="K31" s="23">
        <f t="shared" si="8"/>
        <v>-7000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2718.1</v>
      </c>
      <c r="P31" s="124">
        <f t="shared" si="3"/>
        <v>0</v>
      </c>
      <c r="Q31" s="124">
        <f t="shared" si="4"/>
        <v>-7000</v>
      </c>
      <c r="R31" s="124">
        <f t="shared" si="5"/>
        <v>0</v>
      </c>
      <c r="S31" s="124">
        <f t="shared" si="6"/>
        <v>-7000</v>
      </c>
      <c r="T31" s="125">
        <f t="shared" si="9"/>
        <v>0</v>
      </c>
      <c r="U31" s="126">
        <f t="shared" si="7"/>
        <v>-2718.1</v>
      </c>
    </row>
    <row r="32" spans="1:21" s="120" customFormat="1" x14ac:dyDescent="0.25">
      <c r="A32" s="16">
        <v>21</v>
      </c>
      <c r="B32" s="16"/>
      <c r="C32" s="16"/>
      <c r="D32" s="26"/>
      <c r="E32" s="16"/>
      <c r="F32" s="16"/>
      <c r="G32" s="23">
        <v>7000</v>
      </c>
      <c r="H32" s="23"/>
      <c r="I32" s="23">
        <f t="shared" si="2"/>
        <v>7000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2718.1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>
        <v>-6000</v>
      </c>
      <c r="I33" s="23">
        <f t="shared" si="2"/>
        <v>-6000</v>
      </c>
      <c r="J33" s="23"/>
      <c r="K33" s="23">
        <f t="shared" si="8"/>
        <v>-6000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2329.7999999999997</v>
      </c>
      <c r="P33" s="124">
        <f t="shared" si="3"/>
        <v>0</v>
      </c>
      <c r="Q33" s="124">
        <f t="shared" si="4"/>
        <v>-6000</v>
      </c>
      <c r="R33" s="124">
        <f t="shared" si="5"/>
        <v>0</v>
      </c>
      <c r="S33" s="124">
        <f t="shared" si="6"/>
        <v>-6000</v>
      </c>
      <c r="T33" s="125">
        <f t="shared" si="9"/>
        <v>0</v>
      </c>
      <c r="U33" s="126">
        <f t="shared" si="7"/>
        <v>-2329.7999999999997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>
        <v>6000</v>
      </c>
      <c r="H34" s="22"/>
      <c r="I34" s="23">
        <f t="shared" si="2"/>
        <v>6000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2329.7999999999997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39000</v>
      </c>
      <c r="H43" s="1">
        <f>+SUM(H12:H42)</f>
        <v>-39000</v>
      </c>
      <c r="I43" s="1">
        <f>+SUM(I12:I42)</f>
        <v>0</v>
      </c>
      <c r="N43" s="31">
        <f t="shared" ref="N43:T43" si="10">SUM(N12:N42)</f>
        <v>15143.699999999999</v>
      </c>
      <c r="O43" s="31">
        <f t="shared" si="10"/>
        <v>15143.699999999999</v>
      </c>
      <c r="P43" s="31">
        <f t="shared" si="10"/>
        <v>0</v>
      </c>
      <c r="Q43" s="31">
        <f t="shared" si="10"/>
        <v>-39987</v>
      </c>
      <c r="R43" s="31">
        <f t="shared" si="10"/>
        <v>0</v>
      </c>
      <c r="S43" s="31">
        <f t="shared" si="10"/>
        <v>-39000</v>
      </c>
      <c r="T43" s="31">
        <f t="shared" si="10"/>
        <v>0</v>
      </c>
      <c r="U43" s="31">
        <f>ABS(SUM(U12:U42))</f>
        <v>15526.952099999999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15526.952099999999</v>
      </c>
    </row>
    <row r="46" spans="1:21" x14ac:dyDescent="0.25">
      <c r="A46" s="16"/>
      <c r="E46" s="34" t="s">
        <v>24</v>
      </c>
      <c r="G46" s="30">
        <f>+G43</f>
        <v>39000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-39000</v>
      </c>
      <c r="K47" s="134" t="s">
        <v>91</v>
      </c>
      <c r="N47" s="38"/>
      <c r="O47" s="38"/>
      <c r="S47" s="37"/>
      <c r="T47" s="68"/>
    </row>
    <row r="48" spans="1:21" x14ac:dyDescent="0.25">
      <c r="A48" s="16"/>
      <c r="G48" s="30">
        <f>ABS(G47)</f>
        <v>39000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499.20000000000005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499.20000000000005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998.40000000000009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998.40000000000009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9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 t="s">
        <v>56</v>
      </c>
      <c r="C11" s="14">
        <v>27431</v>
      </c>
      <c r="D11" s="99">
        <v>36923</v>
      </c>
      <c r="E11" s="16">
        <v>500616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01" t="s">
        <v>43</v>
      </c>
      <c r="N46" s="202"/>
      <c r="O46" s="202"/>
      <c r="P46" s="202"/>
      <c r="Q46" s="202"/>
      <c r="R46" s="202"/>
      <c r="S46" s="202"/>
      <c r="T46" s="203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1" x14ac:dyDescent="0.25">
      <c r="A49" s="16"/>
      <c r="N49" s="35"/>
      <c r="O49" s="38"/>
      <c r="S49" s="37"/>
      <c r="T49" s="38"/>
    </row>
    <row r="50" spans="1:21" x14ac:dyDescent="0.25">
      <c r="A50" s="16"/>
      <c r="N50" s="38"/>
      <c r="O50" s="76"/>
      <c r="S50" s="37"/>
      <c r="T50" s="38"/>
    </row>
    <row r="51" spans="1:21" x14ac:dyDescent="0.25">
      <c r="A51" s="16"/>
      <c r="N51" s="38"/>
      <c r="O51" s="76"/>
    </row>
    <row r="52" spans="1:21" x14ac:dyDescent="0.25">
      <c r="A52" s="16"/>
      <c r="N52" s="38"/>
      <c r="O52" s="76"/>
    </row>
    <row r="53" spans="1:21" ht="13.8" thickBot="1" x14ac:dyDescent="0.3">
      <c r="A53" s="21" t="s">
        <v>58</v>
      </c>
      <c r="N53" s="38"/>
      <c r="O53" s="36"/>
    </row>
    <row r="54" spans="1:21" ht="42" thickBot="1" x14ac:dyDescent="0.3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5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5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5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5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5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5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5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5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5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5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5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5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5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5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5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5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5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5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5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5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5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5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5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5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5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5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5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5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5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5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5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5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5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5">
      <c r="A88" s="16"/>
      <c r="E88"/>
      <c r="F88"/>
      <c r="G88"/>
    </row>
    <row r="89" spans="1:21" ht="13.8" thickBot="1" x14ac:dyDescent="0.3">
      <c r="A89" s="16"/>
      <c r="E89"/>
      <c r="F89"/>
      <c r="G89"/>
      <c r="R89" s="33" t="s">
        <v>23</v>
      </c>
      <c r="S89" s="20">
        <f>+R87-S87</f>
        <v>4645</v>
      </c>
    </row>
    <row r="90" spans="1:21" ht="13.8" thickBot="1" x14ac:dyDescent="0.3">
      <c r="A90" s="16"/>
      <c r="E90" s="34" t="s">
        <v>24</v>
      </c>
      <c r="G90" s="30">
        <f>+G87</f>
        <v>4645</v>
      </c>
      <c r="M90" s="201" t="s">
        <v>43</v>
      </c>
      <c r="N90" s="202"/>
      <c r="O90" s="202"/>
      <c r="P90" s="202"/>
      <c r="Q90" s="202"/>
      <c r="R90" s="202"/>
      <c r="S90" s="202"/>
      <c r="T90" s="203"/>
      <c r="U90" s="58">
        <f>T87+(ABS((U87)))</f>
        <v>1803.6534999999999</v>
      </c>
    </row>
    <row r="91" spans="1:21" x14ac:dyDescent="0.25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5">
      <c r="A92" s="16"/>
      <c r="N92" s="38"/>
      <c r="O92" s="38"/>
      <c r="S92" s="37"/>
      <c r="T92" s="38"/>
    </row>
  </sheetData>
  <mergeCells count="2">
    <mergeCell ref="M46:T46"/>
    <mergeCell ref="M90:T90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G18" sqref="G18:H1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37</v>
      </c>
      <c r="C11" s="14">
        <v>27249</v>
      </c>
      <c r="D11" s="99">
        <v>37135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121" t="s">
        <v>98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0.03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56">
        <v>0.08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56">
        <v>0.08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57">
        <v>0.04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57">
        <v>0.04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57">
        <v>0.04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56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56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56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56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56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56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56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56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56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56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57">
        <v>0.05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57">
        <v>0.05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57">
        <v>0.05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57">
        <v>0.05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57">
        <v>0.05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57">
        <v>0.05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57">
        <v>0.05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57">
        <v>0.05</v>
      </c>
      <c r="M42" s="24">
        <v>0.05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201" t="s">
        <v>43</v>
      </c>
      <c r="N46" s="202"/>
      <c r="O46" s="202"/>
      <c r="P46" s="202"/>
      <c r="Q46" s="202"/>
      <c r="R46" s="202"/>
      <c r="S46" s="202"/>
      <c r="T46" s="203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22" width="5" style="12" customWidth="1"/>
    <col min="23" max="23" width="14.44140625" style="12" customWidth="1"/>
    <col min="24" max="24" width="14.5546875" style="12" customWidth="1"/>
    <col min="25" max="25" width="13.109375" style="12" customWidth="1"/>
    <col min="26" max="26" width="10.33203125" style="12" customWidth="1"/>
    <col min="27" max="28" width="13" style="12" customWidth="1"/>
    <col min="29" max="29" width="11.6640625" style="12" customWidth="1"/>
    <col min="30" max="30" width="9.109375" style="12"/>
    <col min="31" max="31" width="11.109375" style="12" customWidth="1"/>
    <col min="32" max="35" width="9.109375" style="12"/>
    <col min="36" max="36" width="11.88671875" style="12" customWidth="1"/>
    <col min="37" max="37" width="14.88671875" style="12" customWidth="1"/>
    <col min="38" max="16384" width="9.109375" style="12"/>
  </cols>
  <sheetData>
    <row r="1" spans="1:37" x14ac:dyDescent="0.25">
      <c r="V1" s="34" t="s">
        <v>95</v>
      </c>
    </row>
    <row r="2" spans="1:37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37" x14ac:dyDescent="0.25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37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5">
      <c r="A11" s="13"/>
      <c r="B11" s="14" t="s">
        <v>32</v>
      </c>
      <c r="C11" s="14">
        <v>27268</v>
      </c>
      <c r="D11" s="99">
        <v>37135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5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5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5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5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5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5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5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5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5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5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5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5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5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5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5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8" thickBot="1" x14ac:dyDescent="0.3">
      <c r="A44" s="16"/>
      <c r="E44"/>
      <c r="F44"/>
      <c r="G44"/>
    </row>
    <row r="45" spans="1:42" ht="13.8" thickBot="1" x14ac:dyDescent="0.3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5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8" thickBot="1" x14ac:dyDescent="0.3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8" thickBot="1" x14ac:dyDescent="0.3">
      <c r="A48" s="16"/>
      <c r="G48" s="116">
        <f>ABS(G46)</f>
        <v>0</v>
      </c>
      <c r="M48" s="196" t="s">
        <v>43</v>
      </c>
      <c r="N48" s="197"/>
      <c r="O48" s="197"/>
      <c r="P48" s="197"/>
      <c r="Q48" s="197"/>
      <c r="R48" s="197"/>
      <c r="S48" s="197"/>
      <c r="T48" s="198"/>
      <c r="U48" s="111">
        <f>U45+AK45</f>
        <v>0</v>
      </c>
      <c r="Y48" s="116">
        <f>ABS(Y46)</f>
        <v>0</v>
      </c>
    </row>
    <row r="49" spans="1:22" x14ac:dyDescent="0.25">
      <c r="A49" s="16"/>
      <c r="L49" s="134"/>
      <c r="N49" s="39"/>
      <c r="O49" s="40"/>
      <c r="S49" s="37"/>
      <c r="T49" s="38"/>
      <c r="U49" s="130"/>
      <c r="V49" s="130"/>
    </row>
    <row r="50" spans="1:22" x14ac:dyDescent="0.25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8" thickBot="1" x14ac:dyDescent="0.3">
      <c r="A51" s="16"/>
      <c r="N51" s="41" t="s">
        <v>28</v>
      </c>
      <c r="O51" s="42">
        <f>+H43*-0.0128</f>
        <v>0</v>
      </c>
      <c r="U51" s="132"/>
      <c r="V51" s="68"/>
    </row>
    <row r="52" spans="1:22" ht="13.8" thickTop="1" x14ac:dyDescent="0.25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5">
      <c r="A53" s="16"/>
      <c r="N53" s="43" t="s">
        <v>30</v>
      </c>
      <c r="O53" s="44">
        <f>SUM(O50:O52)</f>
        <v>0</v>
      </c>
    </row>
    <row r="54" spans="1:22" x14ac:dyDescent="0.25">
      <c r="A54" s="16"/>
    </row>
    <row r="55" spans="1:22" x14ac:dyDescent="0.25">
      <c r="A55" s="16"/>
      <c r="N55" s="45" t="s">
        <v>31</v>
      </c>
      <c r="O55" s="46">
        <f>MIN(O53,O46)</f>
        <v>0</v>
      </c>
    </row>
    <row r="57" spans="1:22" x14ac:dyDescent="0.25">
      <c r="N57" s="47"/>
      <c r="O57" s="48"/>
    </row>
    <row r="58" spans="1:22" x14ac:dyDescent="0.25">
      <c r="N58" s="48"/>
      <c r="O58" s="36"/>
    </row>
    <row r="59" spans="1:22" x14ac:dyDescent="0.25">
      <c r="N59" s="48"/>
      <c r="O59" s="36"/>
    </row>
    <row r="60" spans="1:22" x14ac:dyDescent="0.25">
      <c r="N60" s="48"/>
      <c r="O60" s="36"/>
    </row>
    <row r="61" spans="1:22" x14ac:dyDescent="0.25">
      <c r="N61" s="48"/>
      <c r="O61" s="36"/>
    </row>
    <row r="62" spans="1:22" x14ac:dyDescent="0.25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E30" sqref="E30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62</v>
      </c>
      <c r="C11" s="14">
        <v>27502</v>
      </c>
      <c r="D11" s="99">
        <v>37135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0" t="s">
        <v>96</v>
      </c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ht="13.8" thickBot="1" x14ac:dyDescent="0.3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3" ht="13.8" thickBot="1" x14ac:dyDescent="0.3">
      <c r="B4" s="153"/>
      <c r="C4" s="143"/>
      <c r="D4" s="144"/>
      <c r="E4" s="143"/>
      <c r="F4" s="145"/>
    </row>
    <row r="5" spans="1:23" x14ac:dyDescent="0.25">
      <c r="B5" s="146"/>
      <c r="C5" s="38"/>
      <c r="D5" s="147"/>
      <c r="E5" s="38"/>
      <c r="F5" s="148"/>
    </row>
    <row r="6" spans="1:23" x14ac:dyDescent="0.25">
      <c r="B6" s="146"/>
      <c r="C6" s="38"/>
      <c r="D6" s="147"/>
      <c r="E6" s="38"/>
      <c r="F6" s="148"/>
    </row>
    <row r="7" spans="1:23" x14ac:dyDescent="0.25">
      <c r="B7" s="146"/>
      <c r="C7" s="38"/>
      <c r="D7" s="147"/>
      <c r="E7" s="38"/>
      <c r="F7" s="148"/>
    </row>
    <row r="8" spans="1:23" ht="13.8" thickBot="1" x14ac:dyDescent="0.3">
      <c r="B8" s="149"/>
      <c r="C8" s="150"/>
      <c r="D8" s="151"/>
      <c r="E8" s="150"/>
      <c r="F8" s="152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5">
      <c r="B3" s="199" t="s">
        <v>97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27267</v>
      </c>
      <c r="D11" s="99">
        <v>37104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USGT 500622</vt:lpstr>
      <vt:lpstr>Calpine 78151</vt:lpstr>
      <vt:lpstr>EES 500616</vt:lpstr>
      <vt:lpstr>Richardson 500622</vt:lpstr>
      <vt:lpstr>USGT 500616</vt:lpstr>
      <vt:lpstr>Astra 500622</vt:lpstr>
      <vt:lpstr>PNM Discount</vt:lpstr>
      <vt:lpstr>PNM 500617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Cinergy M&amp;T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2001-10-01T19:21:01Z</cp:lastPrinted>
  <dcterms:created xsi:type="dcterms:W3CDTF">2000-11-28T19:34:37Z</dcterms:created>
  <dcterms:modified xsi:type="dcterms:W3CDTF">2023-09-10T12:02:31Z</dcterms:modified>
</cp:coreProperties>
</file>