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1"/>
    <workbookView xWindow="600" yWindow="288" windowWidth="9720" windowHeight="6600" activeTab="1"/>
    <workbookView xWindow="840" yWindow="480" windowWidth="10860" windowHeight="6408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B5" i="11"/>
  <c r="H5" i="11"/>
  <c r="B6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B7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<sst xmlns="http://schemas.openxmlformats.org/spreadsheetml/2006/main" count="682" uniqueCount="212">
  <si>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</si>
  <si>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</si>
  <si>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</si>
  <si>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</si>
  <si>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</si>
  <si>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</si>
  <si>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</si>
  <si>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</si>
  <si>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</si>
  <si>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</si>
  <si>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</si>
  <si>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</si>
  <si>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</si>
  <si>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</si>
  <si>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</si>
  <si>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</si>
  <si>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</si>
  <si>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</si>
  <si>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</si>
  <si>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</si>
  <si>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</si>
  <si>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</si>
  <si>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</si>
  <si>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</si>
  <si>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</si>
  <si>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</si>
  <si>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</si>
  <si>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</si>
  <si>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</si>
  <si>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</si>
  <si>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</si>
  <si>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</si>
  <si>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</si>
  <si>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</si>
  <si>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</si>
  <si>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</si>
  <si>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</si>
  <si>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</si>
  <si>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</si>
  <si>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</si>
  <si>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</si>
  <si>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</si>
  <si>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</si>
  <si>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</si>
  <si>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</si>
  <si>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</si>
  <si>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</si>
  <si>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</si>
  <si>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</si>
  <si>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</si>
  <si>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</si>
  <si>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</si>
  <si>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</si>
  <si>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</si>
  <si>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</si>
  <si>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</si>
  <si>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</si>
  <si>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</si>
  <si>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</si>
  <si>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</si>
  <si>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</si>
  <si>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</si>
  <si>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</si>
  <si>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</si>
  <si>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</si>
  <si>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</si>
  <si>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</si>
  <si>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</si>
  <si>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</si>
  <si>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</si>
  <si>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</si>
  <si>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</si>
  <si>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</si>
  <si>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</si>
  <si>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</si>
  <si>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</si>
  <si>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</si>
  <si>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</si>
  <si>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</si>
  <si>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</si>
  <si>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</si>
  <si>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</si>
  <si>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</si>
  <si>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</si>
  <si>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</si>
  <si>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</si>
  <si>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</si>
  <si>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</si>
  <si>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</si>
  <si>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</si>
  <si>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</si>
  <si>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</si>
  <si>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</si>
  <si>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</si>
  <si>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</si>
  <si>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</si>
  <si>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</si>
  <si>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</si>
  <si>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</si>
  <si>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</si>
  <si>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</si>
  <si>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</si>
  <si>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</si>
  <si>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</si>
  <si>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</si>
  <si>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</si>
  <si>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</si>
  <si>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</si>
  <si>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</si>
  <si>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</si>
  <si>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</si>
  <si>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</si>
  <si>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</si>
  <si>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</si>
  <si>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</si>
  <si>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</si>
  <si>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</si>
  <si>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</si>
  <si>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</si>
  <si>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</si>
  <si>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</si>
  <si>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</si>
  <si>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</si>
  <si>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</si>
  <si>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</si>
  <si>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</si>
  <si>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</si>
  <si>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</si>
  <si>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</si>
  <si>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</si>
  <si>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</si>
  <si>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</si>
  <si>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</si>
  <si>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</si>
  <si>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</si>
  <si>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</si>
  <si>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</si>
  <si>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</si>
  <si>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</si>
  <si>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</si>
  <si>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</si>
  <si>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</si>
  <si>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</si>
  <si>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</si>
  <si>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</si>
  <si>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</si>
  <si>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</si>
  <si>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</si>
  <si>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</si>
  <si>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</si>
  <si>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</si>
  <si>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</si>
  <si>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</si>
  <si>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</si>
  <si>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</si>
  <si>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</si>
  <si>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</si>
  <si>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</si>
  <si>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</si>
  <si>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</si>
  <si>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</si>
  <si>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</si>
  <si>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</si>
  <si>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</si>
  <si>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</si>
  <si>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</si>
  <si>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</si>
  <si>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</si>
  <si>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</si>
  <si>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</si>
  <si>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</si>
  <si>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</si>
  <si>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</si>
  <si>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</si>
  <si>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</si>
  <si>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</si>
  <si>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</si>
  <si>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</si>
  <si>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</si>
  <si>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</si>
  <si>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</si>
  <si>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</si>
  <si>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</si>
  <si>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</si>
  <si>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</si>
  <si>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</si>
  <si>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</si>
  <si>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</si>
  <si>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</si>
  <si>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</si>
  <si>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</si>
  <si>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</si>
  <si>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</si>
  <si>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</si>
  <si>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</si>
  <si>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</si>
  <si>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</si>
  <si>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</si>
  <si>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Equilavent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</si>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</sst>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6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4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4" fillId="6" borderId="1" xfId="0" applyNumberFormat="1" applyFont="1" applyFill="1" applyBorder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1.64</v>
          </cell>
          <cell r="K39">
            <v>1.52</v>
          </cell>
          <cell r="M39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50" workbookViewId="3">
      <selection activeCell="B55" sqref="B55"/>
    </sheetView>
  </sheetViews>
  <sheetFormatPr defaultRowHeight="13.2" outlineLevelRow="2" x14ac:dyDescent="0.25"/>
  <cols>
    <col min="1" max="1" width="18.88671875" style="293" customWidth="1"/>
    <col min="2" max="2" width="11.109375" style="250" bestFit="1" customWidth="1"/>
    <col min="3" max="3" width="10.5546875" style="294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0"/>
    </row>
    <row r="2" spans="1:32" ht="12.9" customHeight="1" x14ac:dyDescent="0.25">
      <c r="A2" s="34" t="s">
        <v>143</v>
      </c>
      <c r="D2" s="7"/>
      <c r="I2" s="408" t="s">
        <v>79</v>
      </c>
      <c r="J2" s="411"/>
      <c r="K2" s="32"/>
    </row>
    <row r="3" spans="1:32" ht="12.9" customHeight="1" x14ac:dyDescent="0.25">
      <c r="D3" s="7"/>
      <c r="I3" s="409" t="s">
        <v>30</v>
      </c>
      <c r="J3" s="412">
        <f>+summary!H3</f>
        <v>1.52</v>
      </c>
      <c r="K3" s="429">
        <f ca="1">NOW()</f>
        <v>37168.555771527776</v>
      </c>
    </row>
    <row r="4" spans="1:32" ht="12.9" customHeight="1" x14ac:dyDescent="0.25">
      <c r="A4" s="34" t="s">
        <v>149</v>
      </c>
      <c r="C4" s="34" t="s">
        <v>5</v>
      </c>
      <c r="D4" s="7"/>
      <c r="I4" s="410" t="s">
        <v>31</v>
      </c>
      <c r="J4" s="412">
        <f>+summary!H4</f>
        <v>1.6</v>
      </c>
      <c r="K4" s="32"/>
    </row>
    <row r="5" spans="1:32" ht="12.9" customHeight="1" x14ac:dyDescent="0.25">
      <c r="D5" s="7"/>
      <c r="I5" s="409" t="s">
        <v>118</v>
      </c>
      <c r="J5" s="412">
        <f>+summary!H5</f>
        <v>1.64</v>
      </c>
      <c r="K5" s="32"/>
    </row>
    <row r="6" spans="1:32" ht="12" customHeight="1" x14ac:dyDescent="0.25"/>
    <row r="7" spans="1:32" ht="12.9" customHeight="1" x14ac:dyDescent="0.25">
      <c r="A7" s="427" t="s">
        <v>169</v>
      </c>
      <c r="B7" s="428"/>
      <c r="AD7" s="32"/>
      <c r="AE7" s="32"/>
      <c r="AF7" s="32"/>
    </row>
    <row r="8" spans="1:32" ht="15.9" customHeight="1" outlineLevel="2" x14ac:dyDescent="0.25">
      <c r="A8" s="32"/>
      <c r="B8" s="507" t="s">
        <v>205</v>
      </c>
      <c r="C8" s="425" t="s">
        <v>0</v>
      </c>
      <c r="D8" s="12" t="s">
        <v>204</v>
      </c>
      <c r="E8" s="12" t="s">
        <v>202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1" t="s">
        <v>90</v>
      </c>
      <c r="B9" s="417" t="s">
        <v>206</v>
      </c>
      <c r="C9" s="426" t="s">
        <v>199</v>
      </c>
      <c r="D9" s="457" t="s">
        <v>203</v>
      </c>
      <c r="E9" s="39" t="s">
        <v>201</v>
      </c>
      <c r="F9" s="39" t="s">
        <v>150</v>
      </c>
      <c r="G9" s="415" t="s">
        <v>155</v>
      </c>
      <c r="H9" s="392" t="s">
        <v>102</v>
      </c>
      <c r="I9" s="39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1" t="s">
        <v>161</v>
      </c>
    </row>
    <row r="12" spans="1:32" ht="15.9" customHeight="1" outlineLevel="1" x14ac:dyDescent="0.25">
      <c r="A12" s="206" t="s">
        <v>130</v>
      </c>
      <c r="B12" s="367">
        <f>+Calpine!D41</f>
        <v>52477.599999999999</v>
      </c>
      <c r="C12" s="394">
        <f>+B12/$J$4</f>
        <v>32798.5</v>
      </c>
      <c r="D12" s="14">
        <f>+Calpine!D47</f>
        <v>113671</v>
      </c>
      <c r="E12" s="70">
        <f>+C12-D12</f>
        <v>-80872.5</v>
      </c>
      <c r="F12" s="389">
        <f>+Calpine!A41</f>
        <v>37166</v>
      </c>
      <c r="G12" s="205"/>
      <c r="H12" s="206" t="s">
        <v>100</v>
      </c>
      <c r="I12" s="373"/>
      <c r="J12" s="70"/>
      <c r="K12" s="32"/>
    </row>
    <row r="13" spans="1:32" ht="15.9" customHeight="1" outlineLevel="2" x14ac:dyDescent="0.25">
      <c r="A13" s="32" t="s">
        <v>142</v>
      </c>
      <c r="B13" s="367">
        <f>+'Citizens-Griffith'!D41</f>
        <v>-5376.3999999999978</v>
      </c>
      <c r="C13" s="393">
        <f>+B13/$J$4</f>
        <v>-3360.2499999999986</v>
      </c>
      <c r="D13" s="14">
        <f>+'Citizens-Griffith'!D48</f>
        <v>6322</v>
      </c>
      <c r="E13" s="70">
        <f>+C13-D13</f>
        <v>-9682.2499999999982</v>
      </c>
      <c r="F13" s="389">
        <f>+'Citizens-Griffith'!A41</f>
        <v>37166</v>
      </c>
      <c r="G13" s="205" t="s">
        <v>158</v>
      </c>
      <c r="H13" s="32" t="s">
        <v>100</v>
      </c>
      <c r="I13" s="32"/>
      <c r="J13" s="32"/>
      <c r="K13" s="32"/>
    </row>
    <row r="14" spans="1:32" ht="15.9" customHeight="1" outlineLevel="2" x14ac:dyDescent="0.25">
      <c r="A14" s="32" t="s">
        <v>136</v>
      </c>
      <c r="B14" s="367">
        <f>+'NS Steel'!D41</f>
        <v>-455420.8</v>
      </c>
      <c r="C14" s="393">
        <f>+B14/$J$4</f>
        <v>-284638</v>
      </c>
      <c r="D14" s="14">
        <f>+'NS Steel'!D50</f>
        <v>-96444</v>
      </c>
      <c r="E14" s="70">
        <f>+C14-D14</f>
        <v>-188194</v>
      </c>
      <c r="F14" s="390">
        <f>+'NS Steel'!A41</f>
        <v>37166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5.9" customHeight="1" outlineLevel="1" x14ac:dyDescent="0.25">
      <c r="A15" s="206" t="s">
        <v>138</v>
      </c>
      <c r="B15" s="370">
        <f>+Citizens!D18</f>
        <v>-587661.80999999994</v>
      </c>
      <c r="C15" s="395">
        <f>+B15/$J$4</f>
        <v>-367288.63124999992</v>
      </c>
      <c r="D15" s="371">
        <f>+Citizens!D24</f>
        <v>-61390</v>
      </c>
      <c r="E15" s="72">
        <f>+C15-D15</f>
        <v>-305898.63124999992</v>
      </c>
      <c r="F15" s="389">
        <f>+Citizens!A18</f>
        <v>37166</v>
      </c>
      <c r="G15" s="205"/>
      <c r="H15" s="206" t="s">
        <v>100</v>
      </c>
      <c r="I15" s="449" t="s">
        <v>185</v>
      </c>
      <c r="J15" s="32"/>
      <c r="K15" s="32"/>
      <c r="T15" s="265"/>
    </row>
    <row r="16" spans="1:32" ht="15.9" customHeight="1" outlineLevel="2" x14ac:dyDescent="0.25">
      <c r="A16" s="153" t="s">
        <v>162</v>
      </c>
      <c r="B16" s="413">
        <f>SUBTOTAL(9,B12:B15)</f>
        <v>-995981.40999999992</v>
      </c>
      <c r="C16" s="420">
        <f>SUBTOTAL(9,C12:C15)</f>
        <v>-622488.38124999986</v>
      </c>
      <c r="D16" s="421">
        <f>SUBTOTAL(9,D12:D15)</f>
        <v>-37841</v>
      </c>
      <c r="E16" s="422">
        <f>SUBTOTAL(9,E12:E15)</f>
        <v>-584647.38124999986</v>
      </c>
      <c r="F16" s="389"/>
      <c r="G16" s="205"/>
      <c r="H16" s="206"/>
      <c r="I16" s="373"/>
      <c r="J16" s="32"/>
      <c r="K16" s="32"/>
      <c r="T16" s="265"/>
    </row>
    <row r="17" spans="1:20" ht="12.9" customHeight="1" outlineLevel="2" x14ac:dyDescent="0.25">
      <c r="G17" s="7"/>
    </row>
    <row r="18" spans="1:20" ht="15.9" customHeight="1" outlineLevel="2" x14ac:dyDescent="0.25">
      <c r="A18" s="424" t="s">
        <v>58</v>
      </c>
      <c r="G18" s="7"/>
    </row>
    <row r="19" spans="1:20" ht="15.9" customHeight="1" outlineLevel="2" x14ac:dyDescent="0.25">
      <c r="A19" s="32" t="s">
        <v>72</v>
      </c>
      <c r="B19" s="368">
        <f>+transcol!$D$43</f>
        <v>46753.4</v>
      </c>
      <c r="C19" s="393">
        <f>+B19/$J$4</f>
        <v>29220.875</v>
      </c>
      <c r="D19" s="14">
        <f>+transcol!D50</f>
        <v>-33560</v>
      </c>
      <c r="E19" s="70">
        <f>+C19-D19</f>
        <v>62780.875</v>
      </c>
      <c r="F19" s="390">
        <f>+transcol!A43</f>
        <v>37166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5.9" customHeight="1" outlineLevel="2" x14ac:dyDescent="0.25">
      <c r="A20" s="206" t="s">
        <v>96</v>
      </c>
      <c r="B20" s="370">
        <f>+burlington!D42</f>
        <v>17672.84</v>
      </c>
      <c r="C20" s="397">
        <f>+B20/$J$3</f>
        <v>11626.868421052632</v>
      </c>
      <c r="D20" s="371">
        <f>+burlington!D49</f>
        <v>10269</v>
      </c>
      <c r="E20" s="72">
        <f>+C20-D20</f>
        <v>1357.8684210526317</v>
      </c>
      <c r="F20" s="389">
        <f>+burlington!A42</f>
        <v>37166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" customHeight="1" outlineLevel="2" x14ac:dyDescent="0.25">
      <c r="A21" s="153" t="s">
        <v>164</v>
      </c>
      <c r="B21" s="413">
        <f>SUBTOTAL(9,B19:B20)</f>
        <v>64426.240000000005</v>
      </c>
      <c r="C21" s="414">
        <f>SUBTOTAL(9,C19:C20)</f>
        <v>40847.743421052633</v>
      </c>
      <c r="D21" s="421">
        <f>SUBTOTAL(9,D19:D20)</f>
        <v>-23291</v>
      </c>
      <c r="E21" s="422">
        <f>SUBTOTAL(9,E19:E20)</f>
        <v>64138.743421052633</v>
      </c>
      <c r="F21" s="389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1" t="s">
        <v>165</v>
      </c>
      <c r="B23" s="453"/>
      <c r="C23" s="454"/>
      <c r="D23" s="455"/>
      <c r="E23" s="455"/>
      <c r="F23" s="455"/>
      <c r="G23" s="456"/>
      <c r="H23" s="455"/>
      <c r="I23" s="455"/>
    </row>
    <row r="24" spans="1:20" ht="15.9" customHeight="1" outlineLevel="2" x14ac:dyDescent="0.25">
      <c r="A24" s="206" t="s">
        <v>88</v>
      </c>
      <c r="B24" s="367">
        <f>+NNG!$D$24</f>
        <v>426191.4</v>
      </c>
      <c r="C24" s="393">
        <f t="shared" ref="C24:C35" si="0">+B24/$J$4</f>
        <v>266369.625</v>
      </c>
      <c r="D24" s="14">
        <f>+NNG!D34</f>
        <v>-12738</v>
      </c>
      <c r="E24" s="70">
        <f t="shared" ref="E24:E37" si="1">+C24-D24</f>
        <v>279107.625</v>
      </c>
      <c r="F24" s="389">
        <f>+NNG!A24</f>
        <v>37166</v>
      </c>
      <c r="G24" s="416" t="s">
        <v>156</v>
      </c>
      <c r="H24" s="206" t="s">
        <v>101</v>
      </c>
      <c r="I24" s="32"/>
      <c r="J24" s="32"/>
      <c r="K24" s="32"/>
    </row>
    <row r="25" spans="1:20" ht="15.9" customHeight="1" outlineLevel="2" x14ac:dyDescent="0.25">
      <c r="A25" s="32" t="s">
        <v>81</v>
      </c>
      <c r="B25" s="367">
        <f>+Conoco!$F$41</f>
        <v>385748.33</v>
      </c>
      <c r="C25" s="393">
        <f t="shared" si="0"/>
        <v>241092.70624999999</v>
      </c>
      <c r="D25" s="14">
        <f>+Conoco!D48</f>
        <v>-12544</v>
      </c>
      <c r="E25" s="70">
        <f t="shared" si="1"/>
        <v>253636.70624999999</v>
      </c>
      <c r="F25" s="389">
        <f>+Conoco!A41</f>
        <v>37166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5.9" customHeight="1" outlineLevel="2" x14ac:dyDescent="0.25">
      <c r="A26" s="32" t="s">
        <v>3</v>
      </c>
      <c r="B26" s="367">
        <f>+'Amoco Abo'!$F$43</f>
        <v>383057.7</v>
      </c>
      <c r="C26" s="393">
        <f t="shared" si="0"/>
        <v>239411.0625</v>
      </c>
      <c r="D26" s="14">
        <f>+'Amoco Abo'!D49</f>
        <v>-265696</v>
      </c>
      <c r="E26" s="70">
        <f t="shared" si="1"/>
        <v>505107.0625</v>
      </c>
      <c r="F26" s="390">
        <f>+'Amoco Abo'!A43</f>
        <v>37166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5.9" customHeight="1" outlineLevel="2" x14ac:dyDescent="0.25">
      <c r="A27" s="32" t="s">
        <v>108</v>
      </c>
      <c r="B27" s="367">
        <f>+KN_Westar!F41</f>
        <v>483326.7</v>
      </c>
      <c r="C27" s="393">
        <f t="shared" si="0"/>
        <v>302079.1875</v>
      </c>
      <c r="D27" s="14">
        <f>+KN_Westar!D48</f>
        <v>36377</v>
      </c>
      <c r="E27" s="70">
        <f t="shared" si="1"/>
        <v>265702.1875</v>
      </c>
      <c r="F27" s="390">
        <f>+KN_Westar!A41</f>
        <v>37164</v>
      </c>
      <c r="G27" s="205" t="s">
        <v>158</v>
      </c>
      <c r="H27" s="32" t="s">
        <v>101</v>
      </c>
      <c r="I27" s="32"/>
      <c r="J27" s="32"/>
      <c r="K27" s="32"/>
    </row>
    <row r="28" spans="1:20" ht="15.9" customHeight="1" outlineLevel="2" x14ac:dyDescent="0.25">
      <c r="A28" s="32" t="s">
        <v>129</v>
      </c>
      <c r="B28" s="367">
        <f>+DEFS!F53</f>
        <v>110271.89999999991</v>
      </c>
      <c r="C28" s="394">
        <f t="shared" si="0"/>
        <v>68919.937499999942</v>
      </c>
      <c r="D28" s="14">
        <f>+DEFS!M53</f>
        <v>386389</v>
      </c>
      <c r="E28" s="70">
        <f t="shared" si="1"/>
        <v>-317469.06250000006</v>
      </c>
      <c r="F28" s="390">
        <f>+DEFS!A40</f>
        <v>37166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5.9" customHeight="1" outlineLevel="2" x14ac:dyDescent="0.25">
      <c r="A29" s="32" t="s">
        <v>111</v>
      </c>
      <c r="B29" s="367">
        <f>+CIG!D43</f>
        <v>394424</v>
      </c>
      <c r="C29" s="393">
        <f t="shared" si="0"/>
        <v>246515</v>
      </c>
      <c r="D29" s="14">
        <f>+CIG!D49</f>
        <v>21580</v>
      </c>
      <c r="E29" s="70">
        <f t="shared" si="1"/>
        <v>224935</v>
      </c>
      <c r="F29" s="390">
        <f>+CIG!A43</f>
        <v>37166</v>
      </c>
      <c r="G29" s="205" t="s">
        <v>158</v>
      </c>
      <c r="H29" s="32" t="s">
        <v>114</v>
      </c>
      <c r="I29" s="32" t="s">
        <v>190</v>
      </c>
      <c r="J29" s="32"/>
      <c r="K29" s="32"/>
    </row>
    <row r="30" spans="1:20" ht="18" customHeight="1" outlineLevel="1" x14ac:dyDescent="0.25">
      <c r="A30" s="32" t="s">
        <v>2</v>
      </c>
      <c r="B30" s="367">
        <f>+mewborne!$J$43</f>
        <v>350479.6</v>
      </c>
      <c r="C30" s="393">
        <f t="shared" si="0"/>
        <v>219049.74999999997</v>
      </c>
      <c r="D30" s="14">
        <f>+mewborne!D49</f>
        <v>139550</v>
      </c>
      <c r="E30" s="70">
        <f t="shared" si="1"/>
        <v>79499.749999999971</v>
      </c>
      <c r="F30" s="390">
        <f>+mewborne!A43</f>
        <v>37166</v>
      </c>
      <c r="G30" s="205" t="s">
        <v>158</v>
      </c>
      <c r="H30" s="32" t="s">
        <v>100</v>
      </c>
      <c r="I30" s="32"/>
      <c r="J30" s="32"/>
      <c r="K30" s="32"/>
    </row>
    <row r="31" spans="1:20" ht="18" customHeight="1" x14ac:dyDescent="0.25">
      <c r="A31" s="32" t="s">
        <v>151</v>
      </c>
      <c r="B31" s="367">
        <f>+PGETX!$H$39</f>
        <v>447179</v>
      </c>
      <c r="C31" s="393">
        <f t="shared" si="0"/>
        <v>279486.875</v>
      </c>
      <c r="D31" s="14">
        <f>+PGETX!E48</f>
        <v>104542</v>
      </c>
      <c r="E31" s="70">
        <f t="shared" si="1"/>
        <v>174944.875</v>
      </c>
      <c r="F31" s="390">
        <f>+PGETX!E39</f>
        <v>37166</v>
      </c>
      <c r="G31" s="205" t="s">
        <v>156</v>
      </c>
      <c r="H31" s="32" t="s">
        <v>103</v>
      </c>
      <c r="I31" s="32" t="s">
        <v>184</v>
      </c>
      <c r="J31" s="32"/>
      <c r="K31" s="32"/>
    </row>
    <row r="32" spans="1:20" ht="17.100000000000001" customHeight="1" x14ac:dyDescent="0.25">
      <c r="A32" s="32" t="s">
        <v>83</v>
      </c>
      <c r="B32" s="367">
        <f>+PNM!$D$23</f>
        <v>240457.03</v>
      </c>
      <c r="C32" s="393">
        <f t="shared" si="0"/>
        <v>150285.64374999999</v>
      </c>
      <c r="D32" s="14">
        <f>+PNM!D30</f>
        <v>66444</v>
      </c>
      <c r="E32" s="70">
        <f t="shared" si="1"/>
        <v>83841.643749999988</v>
      </c>
      <c r="F32" s="390">
        <f>+PNM!A23</f>
        <v>37166</v>
      </c>
      <c r="G32" s="205" t="s">
        <v>157</v>
      </c>
      <c r="H32" s="32" t="s">
        <v>116</v>
      </c>
      <c r="I32" s="32"/>
      <c r="J32" s="32"/>
      <c r="K32" s="32"/>
    </row>
    <row r="33" spans="1:12" ht="17.100000000000001" customHeight="1" x14ac:dyDescent="0.25">
      <c r="A33" s="32" t="s">
        <v>104</v>
      </c>
      <c r="B33" s="367">
        <f>+EOG!J41</f>
        <v>58914.8</v>
      </c>
      <c r="C33" s="393">
        <f t="shared" si="0"/>
        <v>36821.75</v>
      </c>
      <c r="D33" s="14">
        <f>+EOG!D48</f>
        <v>-97657</v>
      </c>
      <c r="E33" s="70">
        <f t="shared" si="1"/>
        <v>134478.75</v>
      </c>
      <c r="F33" s="389">
        <f>+EOG!A41</f>
        <v>37165</v>
      </c>
      <c r="G33" s="205" t="s">
        <v>158</v>
      </c>
      <c r="H33" s="32" t="s">
        <v>103</v>
      </c>
      <c r="I33" s="32"/>
      <c r="J33" s="32"/>
      <c r="K33" s="32"/>
    </row>
    <row r="34" spans="1:12" ht="17.100000000000001" customHeight="1" x14ac:dyDescent="0.25">
      <c r="A34" s="32" t="s">
        <v>134</v>
      </c>
      <c r="B34" s="367">
        <f>+SidR!D41</f>
        <v>7260.44</v>
      </c>
      <c r="C34" s="393">
        <f t="shared" si="0"/>
        <v>4537.7749999999996</v>
      </c>
      <c r="D34" s="14">
        <f>+SidR!D48</f>
        <v>1335</v>
      </c>
      <c r="E34" s="70">
        <f t="shared" si="1"/>
        <v>3202.7749999999996</v>
      </c>
      <c r="F34" s="390">
        <f>+SidR!A41</f>
        <v>37166</v>
      </c>
      <c r="G34" s="205" t="s">
        <v>156</v>
      </c>
      <c r="H34" s="32" t="s">
        <v>103</v>
      </c>
      <c r="I34" s="32"/>
      <c r="J34" s="32"/>
      <c r="K34" s="32"/>
    </row>
    <row r="35" spans="1:12" ht="17.100000000000001" customHeight="1" x14ac:dyDescent="0.25">
      <c r="A35" s="32" t="s">
        <v>110</v>
      </c>
      <c r="B35" s="367">
        <f>+Continental!F43</f>
        <v>15926.2</v>
      </c>
      <c r="C35" s="394">
        <f t="shared" si="0"/>
        <v>9953.875</v>
      </c>
      <c r="D35" s="14">
        <f>+Continental!D50</f>
        <v>-7955</v>
      </c>
      <c r="E35" s="70">
        <f t="shared" si="1"/>
        <v>17908.875</v>
      </c>
      <c r="F35" s="390">
        <f>+Continental!A43</f>
        <v>37166</v>
      </c>
      <c r="G35" s="205" t="s">
        <v>158</v>
      </c>
      <c r="H35" s="32" t="s">
        <v>116</v>
      </c>
      <c r="I35" s="32"/>
      <c r="J35" s="32"/>
      <c r="K35" s="32"/>
    </row>
    <row r="36" spans="1:12" ht="17.100000000000001" customHeight="1" x14ac:dyDescent="0.25">
      <c r="A36" s="32" t="s">
        <v>132</v>
      </c>
      <c r="B36" s="367">
        <f>+EPFS!D41</f>
        <v>-65320.399999999994</v>
      </c>
      <c r="C36" s="394">
        <f>+B36/$J$5</f>
        <v>-39829.512195121948</v>
      </c>
      <c r="D36" s="14">
        <f>+EPFS!D47</f>
        <v>-18508</v>
      </c>
      <c r="E36" s="70">
        <f t="shared" si="1"/>
        <v>-21321.512195121948</v>
      </c>
      <c r="F36" s="389">
        <f>+EPFS!A41</f>
        <v>37166</v>
      </c>
      <c r="G36" s="205" t="s">
        <v>157</v>
      </c>
      <c r="H36" s="32" t="s">
        <v>103</v>
      </c>
      <c r="I36" s="32"/>
      <c r="J36" s="32"/>
      <c r="K36" s="32"/>
    </row>
    <row r="37" spans="1:12" ht="17.100000000000001" customHeight="1" x14ac:dyDescent="0.25">
      <c r="A37" s="206" t="s">
        <v>80</v>
      </c>
      <c r="B37" s="370">
        <f>+Agave!$D$24</f>
        <v>74689.429999999993</v>
      </c>
      <c r="C37" s="395">
        <f>+B37/$J$4</f>
        <v>46680.893749999996</v>
      </c>
      <c r="D37" s="371">
        <f>+Agave!D31</f>
        <v>8210</v>
      </c>
      <c r="E37" s="72">
        <f t="shared" si="1"/>
        <v>38470.893749999996</v>
      </c>
      <c r="F37" s="389">
        <f>+Agave!A24</f>
        <v>37166</v>
      </c>
      <c r="G37" s="205" t="s">
        <v>187</v>
      </c>
      <c r="H37" s="206" t="s">
        <v>103</v>
      </c>
      <c r="I37" s="32"/>
      <c r="J37" s="32"/>
      <c r="K37" s="32"/>
    </row>
    <row r="38" spans="1:12" ht="17.100000000000001" customHeight="1" x14ac:dyDescent="0.25">
      <c r="A38" s="153" t="s">
        <v>167</v>
      </c>
      <c r="B38" s="413">
        <f>SUBTOTAL(9,B24:B37)</f>
        <v>3312606.13</v>
      </c>
      <c r="C38" s="420">
        <f>SUBTOTAL(9,C24:C37)</f>
        <v>2071374.5690548781</v>
      </c>
      <c r="D38" s="421">
        <f>SUBTOTAL(9,D24:D37)</f>
        <v>349329</v>
      </c>
      <c r="E38" s="422">
        <f>SUBTOTAL(9,E24:E37)</f>
        <v>1722045.5690548781</v>
      </c>
      <c r="F38" s="389"/>
      <c r="G38" s="374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168</v>
      </c>
      <c r="B40" s="413">
        <f>SUBTOTAL(9,B12:B37)</f>
        <v>2381050.96</v>
      </c>
      <c r="C40" s="420">
        <f>SUBTOTAL(9,C12:C37)</f>
        <v>1489733.9312259308</v>
      </c>
      <c r="D40" s="421">
        <f>SUBTOTAL(9,D12:D37)</f>
        <v>288197</v>
      </c>
      <c r="E40" s="422">
        <f>SUBTOTAL(9,E12:E37)</f>
        <v>1201536.9312259308</v>
      </c>
      <c r="F40" s="389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67"/>
      <c r="C41" s="393"/>
      <c r="D41" s="393"/>
      <c r="E41" s="393"/>
      <c r="F41" s="374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143</v>
      </c>
      <c r="D45" s="7"/>
      <c r="I45" s="408" t="s">
        <v>79</v>
      </c>
      <c r="J45" s="411"/>
      <c r="K45" s="32"/>
    </row>
    <row r="46" spans="1:12" ht="13.5" customHeight="1" outlineLevel="2" x14ac:dyDescent="0.25">
      <c r="D46" s="7"/>
      <c r="I46" s="409" t="s">
        <v>30</v>
      </c>
      <c r="J46" s="412">
        <f>+J3</f>
        <v>1.52</v>
      </c>
      <c r="K46" s="429">
        <f ca="1">NOW()</f>
        <v>37168.555771527776</v>
      </c>
    </row>
    <row r="47" spans="1:12" ht="13.5" customHeight="1" outlineLevel="2" x14ac:dyDescent="0.25">
      <c r="A47" s="34" t="s">
        <v>149</v>
      </c>
      <c r="C47" s="34" t="s">
        <v>5</v>
      </c>
      <c r="D47" s="7"/>
      <c r="I47" s="410" t="s">
        <v>31</v>
      </c>
      <c r="J47" s="412">
        <f>+J4</f>
        <v>1.6</v>
      </c>
      <c r="K47" s="32"/>
    </row>
    <row r="48" spans="1:12" ht="13.5" customHeight="1" outlineLevel="1" x14ac:dyDescent="0.25">
      <c r="D48" s="7"/>
      <c r="I48" s="409" t="s">
        <v>118</v>
      </c>
      <c r="J48" s="412">
        <f>+J5</f>
        <v>1.64</v>
      </c>
      <c r="K48" s="32"/>
    </row>
    <row r="49" spans="1:19" ht="13.5" customHeight="1" outlineLevel="2" x14ac:dyDescent="0.25"/>
    <row r="50" spans="1:19" ht="13.5" customHeight="1" outlineLevel="2" x14ac:dyDescent="0.25">
      <c r="A50" s="427" t="s">
        <v>170</v>
      </c>
      <c r="B50" s="428"/>
      <c r="E50" s="12" t="s">
        <v>209</v>
      </c>
    </row>
    <row r="51" spans="1:19" ht="13.5" customHeight="1" outlineLevel="2" x14ac:dyDescent="0.25">
      <c r="A51" s="32"/>
      <c r="B51" s="430" t="s">
        <v>200</v>
      </c>
      <c r="C51" s="430" t="s">
        <v>207</v>
      </c>
      <c r="D51" s="430" t="s">
        <v>204</v>
      </c>
      <c r="E51" s="12" t="s">
        <v>210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1" t="s">
        <v>90</v>
      </c>
      <c r="B52" s="426" t="s">
        <v>0</v>
      </c>
      <c r="C52" s="403" t="s">
        <v>172</v>
      </c>
      <c r="D52" s="39" t="s">
        <v>208</v>
      </c>
      <c r="E52" s="39" t="s">
        <v>211</v>
      </c>
      <c r="F52" s="39" t="s">
        <v>150</v>
      </c>
      <c r="G52" s="415" t="s">
        <v>155</v>
      </c>
      <c r="H52" s="392" t="s">
        <v>102</v>
      </c>
      <c r="I52" s="391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4"/>
      <c r="C53" s="250"/>
    </row>
    <row r="54" spans="1:19" ht="13.5" customHeight="1" outlineLevel="1" x14ac:dyDescent="0.25">
      <c r="A54" s="391" t="s">
        <v>161</v>
      </c>
      <c r="B54" s="294"/>
      <c r="C54" s="250"/>
    </row>
    <row r="55" spans="1:19" ht="13.5" customHeight="1" outlineLevel="2" x14ac:dyDescent="0.25">
      <c r="A55" s="32" t="s">
        <v>95</v>
      </c>
      <c r="B55" s="393">
        <f>+Mojave!D40</f>
        <v>158676</v>
      </c>
      <c r="C55" s="367">
        <f>+B55*$J$4</f>
        <v>253881.60000000001</v>
      </c>
      <c r="D55" s="47">
        <f>+Mojave!D47</f>
        <v>138456.4</v>
      </c>
      <c r="E55" s="47">
        <f>+C55-D55</f>
        <v>115425.20000000001</v>
      </c>
      <c r="F55" s="390">
        <f>+Mojave!A40</f>
        <v>37166</v>
      </c>
      <c r="H55" s="32" t="s">
        <v>101</v>
      </c>
      <c r="I55" s="32" t="s">
        <v>175</v>
      </c>
      <c r="J55" s="32"/>
      <c r="K55" s="32"/>
    </row>
    <row r="56" spans="1:19" ht="15" customHeight="1" outlineLevel="2" x14ac:dyDescent="0.25">
      <c r="A56" s="32" t="s">
        <v>33</v>
      </c>
      <c r="B56" s="394">
        <f>+SoCal!F40</f>
        <v>286719</v>
      </c>
      <c r="C56" s="367">
        <f>+B56*$J$4</f>
        <v>458750.4</v>
      </c>
      <c r="D56" s="47">
        <f>+SoCal!D47</f>
        <v>721648.2</v>
      </c>
      <c r="E56" s="47">
        <f>+C56-D56</f>
        <v>-262897.79999999993</v>
      </c>
      <c r="F56" s="390">
        <f>+SoCal!A40</f>
        <v>37166</v>
      </c>
      <c r="H56" s="32" t="s">
        <v>103</v>
      </c>
      <c r="I56" s="32"/>
      <c r="J56" s="32"/>
      <c r="K56" s="32"/>
    </row>
    <row r="57" spans="1:19" ht="15" customHeight="1" outlineLevel="2" x14ac:dyDescent="0.25">
      <c r="A57" s="32" t="s">
        <v>188</v>
      </c>
      <c r="B57" s="393">
        <f>+'El Paso'!C39</f>
        <v>61898</v>
      </c>
      <c r="C57" s="367">
        <f>+B57*$J$4</f>
        <v>99036.800000000003</v>
      </c>
      <c r="D57" s="47">
        <f>+'El Paso'!C46</f>
        <v>-1586761.6</v>
      </c>
      <c r="E57" s="47">
        <f>+C57-D57</f>
        <v>1685798.4000000001</v>
      </c>
      <c r="F57" s="390">
        <f>+'El Paso'!A39</f>
        <v>37166</v>
      </c>
      <c r="G57" s="450"/>
      <c r="H57" s="32" t="s">
        <v>101</v>
      </c>
      <c r="I57" s="32" t="s">
        <v>179</v>
      </c>
      <c r="J57" s="32"/>
      <c r="K57" s="32"/>
    </row>
    <row r="58" spans="1:19" ht="15" customHeight="1" outlineLevel="1" x14ac:dyDescent="0.25">
      <c r="A58" s="32" t="s">
        <v>115</v>
      </c>
      <c r="B58" s="395">
        <f>+'PG&amp;E'!D40</f>
        <v>73783</v>
      </c>
      <c r="C58" s="370">
        <f>+B58*$J$4</f>
        <v>118052.8</v>
      </c>
      <c r="D58" s="370">
        <f>+'PG&amp;E'!D47</f>
        <v>-47782</v>
      </c>
      <c r="E58" s="370">
        <f>+C58-D58</f>
        <v>165834.79999999999</v>
      </c>
      <c r="F58" s="390">
        <f>+'PG&amp;E'!A40</f>
        <v>37166</v>
      </c>
      <c r="H58" s="32" t="s">
        <v>103</v>
      </c>
      <c r="I58" s="32"/>
      <c r="J58" s="32"/>
      <c r="K58" s="32"/>
    </row>
    <row r="59" spans="1:19" ht="15" customHeight="1" x14ac:dyDescent="0.25">
      <c r="A59" s="2" t="s">
        <v>162</v>
      </c>
      <c r="B59" s="420">
        <f>SUBTOTAL(9,B55:B58)</f>
        <v>581076</v>
      </c>
      <c r="C59" s="413">
        <f>SUBTOTAL(9,C55:C58)</f>
        <v>929721.60000000009</v>
      </c>
      <c r="D59" s="413">
        <f>SUBTOTAL(9,D55:D58)</f>
        <v>-774439.00000000012</v>
      </c>
      <c r="E59" s="413">
        <f>SUBTOTAL(9,E55:E58)</f>
        <v>1704160.6000000003</v>
      </c>
      <c r="F59" s="390"/>
      <c r="G59" s="205"/>
      <c r="H59" s="32"/>
      <c r="I59" s="32"/>
      <c r="J59" s="32"/>
      <c r="K59" s="32"/>
    </row>
    <row r="60" spans="1:19" ht="12.9" customHeight="1" x14ac:dyDescent="0.25">
      <c r="B60" s="294"/>
      <c r="C60" s="250"/>
      <c r="G60" s="205"/>
    </row>
    <row r="61" spans="1:19" ht="15" customHeight="1" x14ac:dyDescent="0.25">
      <c r="A61" s="391" t="s">
        <v>58</v>
      </c>
      <c r="B61" s="294"/>
      <c r="C61" s="250"/>
      <c r="G61" s="205"/>
    </row>
    <row r="62" spans="1:19" x14ac:dyDescent="0.25">
      <c r="A62" s="206" t="s">
        <v>29</v>
      </c>
      <c r="B62" s="393">
        <f>+williams!J40</f>
        <v>245583</v>
      </c>
      <c r="C62" s="367">
        <f>+B62*$J$3</f>
        <v>373286.16000000003</v>
      </c>
      <c r="D62" s="47">
        <f>+williams!D48</f>
        <v>1233054.52</v>
      </c>
      <c r="E62" s="47">
        <f>+C62-D62</f>
        <v>-859768.36</v>
      </c>
      <c r="F62" s="389">
        <f>+williams!A40</f>
        <v>37166</v>
      </c>
      <c r="G62" s="205" t="s">
        <v>157</v>
      </c>
      <c r="H62" s="206" t="s">
        <v>148</v>
      </c>
      <c r="I62" s="32" t="s">
        <v>178</v>
      </c>
      <c r="J62" s="32"/>
      <c r="K62" s="32"/>
    </row>
    <row r="63" spans="1:19" x14ac:dyDescent="0.25">
      <c r="A63" s="32" t="s">
        <v>24</v>
      </c>
      <c r="B63" s="393">
        <f>+'Red C'!F43</f>
        <v>155275</v>
      </c>
      <c r="C63" s="368">
        <f>+B63*J3</f>
        <v>236018</v>
      </c>
      <c r="D63" s="202">
        <f>+'Red C'!D52</f>
        <v>700458.56</v>
      </c>
      <c r="E63" s="47">
        <f>+C63-D63</f>
        <v>-464440.56000000006</v>
      </c>
      <c r="F63" s="389">
        <f>+'Red C'!B43</f>
        <v>37166</v>
      </c>
      <c r="G63" s="205" t="s">
        <v>157</v>
      </c>
      <c r="H63" s="32" t="s">
        <v>116</v>
      </c>
      <c r="I63" s="32" t="s">
        <v>176</v>
      </c>
      <c r="J63" s="32"/>
      <c r="K63" s="32"/>
    </row>
    <row r="64" spans="1:19" x14ac:dyDescent="0.25">
      <c r="A64" s="32" t="s">
        <v>6</v>
      </c>
      <c r="B64" s="393">
        <f>+Amoco!D40</f>
        <v>56812</v>
      </c>
      <c r="C64" s="367">
        <f>+B64*$J$3</f>
        <v>86354.240000000005</v>
      </c>
      <c r="D64" s="47">
        <f>+Amoco!D47</f>
        <v>443362.32</v>
      </c>
      <c r="E64" s="47">
        <f>+C64-D64</f>
        <v>-357008.08</v>
      </c>
      <c r="F64" s="390">
        <f>+Amoco!A40</f>
        <v>37166</v>
      </c>
      <c r="G64" s="205" t="s">
        <v>157</v>
      </c>
      <c r="H64" s="32" t="s">
        <v>116</v>
      </c>
      <c r="I64" s="32" t="s">
        <v>177</v>
      </c>
      <c r="J64" s="32"/>
      <c r="K64" s="32"/>
    </row>
    <row r="65" spans="1:12" x14ac:dyDescent="0.25">
      <c r="A65" s="32" t="s">
        <v>189</v>
      </c>
      <c r="B65" s="393">
        <f>+'El Paso'!E39</f>
        <v>-59508</v>
      </c>
      <c r="C65" s="367">
        <f>+B65*$J$3</f>
        <v>-90452.160000000003</v>
      </c>
      <c r="D65" s="47">
        <f>+'El Paso'!F46</f>
        <v>-633056.60000000009</v>
      </c>
      <c r="E65" s="47">
        <f>+C65-D65</f>
        <v>542604.44000000006</v>
      </c>
      <c r="F65" s="390">
        <f>+'El Paso'!A39</f>
        <v>37166</v>
      </c>
      <c r="G65" s="450"/>
      <c r="H65" s="32" t="s">
        <v>101</v>
      </c>
      <c r="I65" s="32" t="s">
        <v>179</v>
      </c>
      <c r="J65" s="32"/>
      <c r="K65" s="32"/>
    </row>
    <row r="66" spans="1:12" x14ac:dyDescent="0.25">
      <c r="A66" s="32" t="s">
        <v>1</v>
      </c>
      <c r="B66" s="395">
        <f>+NW!$F$41</f>
        <v>57280</v>
      </c>
      <c r="C66" s="370">
        <f>+B66*$J$3</f>
        <v>87065.600000000006</v>
      </c>
      <c r="D66" s="370">
        <f>+NW!E49</f>
        <v>-337783.52</v>
      </c>
      <c r="E66" s="370">
        <f>+C66-D66</f>
        <v>424849.12</v>
      </c>
      <c r="F66" s="389">
        <f>+NW!B41</f>
        <v>37166</v>
      </c>
      <c r="G66" s="205" t="s">
        <v>157</v>
      </c>
      <c r="H66" s="32" t="s">
        <v>116</v>
      </c>
      <c r="I66" s="32"/>
      <c r="J66" s="32"/>
      <c r="K66" s="32"/>
    </row>
    <row r="67" spans="1:12" x14ac:dyDescent="0.25">
      <c r="A67" s="32" t="s">
        <v>163</v>
      </c>
      <c r="B67" s="420">
        <f>SUBTOTAL(9,B62:B66)</f>
        <v>455442</v>
      </c>
      <c r="C67" s="413">
        <f>SUBTOTAL(9,C62:C66)</f>
        <v>692271.84</v>
      </c>
      <c r="D67" s="413">
        <f>SUBTOTAL(9,D62:D66)</f>
        <v>1406035.2799999998</v>
      </c>
      <c r="E67" s="413">
        <f>SUBTOTAL(9,E62:E66)</f>
        <v>-713763.44000000006</v>
      </c>
      <c r="F67" s="389"/>
      <c r="G67" s="205"/>
      <c r="H67" s="32"/>
      <c r="I67" s="32"/>
      <c r="J67" s="32"/>
      <c r="K67" s="32"/>
    </row>
    <row r="68" spans="1:12" x14ac:dyDescent="0.25">
      <c r="B68" s="294"/>
      <c r="C68" s="250"/>
      <c r="G68" s="205"/>
    </row>
    <row r="69" spans="1:12" x14ac:dyDescent="0.25">
      <c r="A69" s="391" t="s">
        <v>165</v>
      </c>
      <c r="B69" s="294"/>
      <c r="C69" s="250"/>
      <c r="G69" s="205"/>
    </row>
    <row r="70" spans="1:12" x14ac:dyDescent="0.25">
      <c r="A70" s="32" t="s">
        <v>89</v>
      </c>
      <c r="B70" s="393">
        <f>+NGPL!F38</f>
        <v>124540</v>
      </c>
      <c r="C70" s="367">
        <f>+B70*$J$4</f>
        <v>199264</v>
      </c>
      <c r="D70" s="47">
        <f>+NGPL!D45</f>
        <v>327207.2</v>
      </c>
      <c r="E70" s="47">
        <f>+C70-D70</f>
        <v>-127943.20000000001</v>
      </c>
      <c r="F70" s="390">
        <f>+NGPL!A38</f>
        <v>37166</v>
      </c>
      <c r="G70" s="205"/>
      <c r="H70" s="32" t="s">
        <v>116</v>
      </c>
      <c r="I70" s="32"/>
      <c r="J70" s="32"/>
      <c r="K70" s="32"/>
    </row>
    <row r="71" spans="1:12" x14ac:dyDescent="0.25">
      <c r="A71" s="32" t="s">
        <v>145</v>
      </c>
      <c r="B71" s="393">
        <f>+PEPL!D41</f>
        <v>-18919</v>
      </c>
      <c r="C71" s="368">
        <f>+B71*$J$4</f>
        <v>-30270.400000000001</v>
      </c>
      <c r="D71" s="47">
        <f>+PEPL!D47</f>
        <v>-128801</v>
      </c>
      <c r="E71" s="47">
        <f>+C71-D71</f>
        <v>98530.6</v>
      </c>
      <c r="F71" s="390">
        <f>+PEPL!A41</f>
        <v>37166</v>
      </c>
      <c r="H71" s="32" t="s">
        <v>101</v>
      </c>
      <c r="I71" s="32" t="s">
        <v>144</v>
      </c>
      <c r="J71" s="32"/>
      <c r="K71" s="32"/>
    </row>
    <row r="72" spans="1:12" x14ac:dyDescent="0.25">
      <c r="A72" s="32" t="s">
        <v>7</v>
      </c>
      <c r="B72" s="394">
        <f>+Oasis!D40</f>
        <v>53571</v>
      </c>
      <c r="C72" s="367">
        <f>+B72*$J$4</f>
        <v>85713.600000000006</v>
      </c>
      <c r="D72" s="47">
        <f>+Oasis!D47</f>
        <v>-241018.2</v>
      </c>
      <c r="E72" s="47">
        <f>+C72-D72</f>
        <v>326731.80000000005</v>
      </c>
      <c r="F72" s="390">
        <f>+Oasis!B40</f>
        <v>37166</v>
      </c>
      <c r="H72" s="32" t="s">
        <v>103</v>
      </c>
      <c r="I72" s="32"/>
      <c r="J72" s="32"/>
      <c r="K72" s="32"/>
    </row>
    <row r="73" spans="1:12" x14ac:dyDescent="0.25">
      <c r="A73" s="32" t="s">
        <v>32</v>
      </c>
      <c r="B73" s="397">
        <f>+Lonestar!F42</f>
        <v>71705</v>
      </c>
      <c r="C73" s="370">
        <f>+B73*$J$4</f>
        <v>114728</v>
      </c>
      <c r="D73" s="370">
        <f>+Lonestar!D49</f>
        <v>68649.600000000006</v>
      </c>
      <c r="E73" s="370">
        <f>+C73-D73</f>
        <v>46078.399999999994</v>
      </c>
      <c r="F73" s="389">
        <f>+Lonestar!B42</f>
        <v>37166</v>
      </c>
      <c r="H73" s="32" t="s">
        <v>103</v>
      </c>
      <c r="I73" s="32"/>
      <c r="J73" s="32"/>
      <c r="K73" s="32"/>
    </row>
    <row r="74" spans="1:12" x14ac:dyDescent="0.25">
      <c r="A74" s="2" t="s">
        <v>166</v>
      </c>
      <c r="B74" s="414">
        <f>SUBTOTAL(9,B70:B73)</f>
        <v>230897</v>
      </c>
      <c r="C74" s="413">
        <f>SUBTOTAL(9,C70:C73)</f>
        <v>369435.2</v>
      </c>
      <c r="D74" s="413">
        <f>SUBTOTAL(9,D70:D73)</f>
        <v>26037.600000000006</v>
      </c>
      <c r="E74" s="413">
        <f>SUBTOTAL(9,E70:E73)</f>
        <v>343397.60000000009</v>
      </c>
      <c r="F74" s="389"/>
      <c r="H74" s="32"/>
      <c r="I74" s="32"/>
      <c r="J74" s="32"/>
      <c r="K74" s="32"/>
    </row>
    <row r="75" spans="1:12" x14ac:dyDescent="0.25">
      <c r="B75" s="294"/>
      <c r="C75" s="250"/>
    </row>
    <row r="76" spans="1:12" x14ac:dyDescent="0.25">
      <c r="A76" s="2" t="s">
        <v>171</v>
      </c>
      <c r="B76" s="414">
        <f>SUBTOTAL(9,B55:B73)</f>
        <v>1267415</v>
      </c>
      <c r="C76" s="413">
        <f>SUBTOTAL(9,C55:C73)</f>
        <v>1991428.6400000006</v>
      </c>
      <c r="D76" s="413">
        <f>SUBTOTAL(9,D55:D73)</f>
        <v>657633.88</v>
      </c>
      <c r="E76" s="413">
        <f>SUBTOTAL(9,E55:E73)</f>
        <v>1333794.7600000002</v>
      </c>
      <c r="F76" s="389"/>
      <c r="H76" s="32"/>
      <c r="I76" s="32"/>
      <c r="J76" s="32"/>
      <c r="K76" s="32"/>
    </row>
    <row r="77" spans="1:12" x14ac:dyDescent="0.25">
      <c r="A77" s="32"/>
      <c r="B77" s="367"/>
      <c r="C77" s="394"/>
      <c r="D77" s="367"/>
      <c r="E77" s="367"/>
      <c r="F77" s="389"/>
      <c r="H77" s="32"/>
      <c r="I77" s="32"/>
      <c r="J77" s="32"/>
      <c r="K77" s="32"/>
    </row>
    <row r="78" spans="1:12" x14ac:dyDescent="0.25">
      <c r="A78" s="32"/>
      <c r="B78" s="370"/>
      <c r="C78" s="393"/>
      <c r="D78" s="302"/>
      <c r="E78" s="302"/>
      <c r="F78" s="389"/>
      <c r="G78" s="32"/>
      <c r="I78" s="32"/>
      <c r="J78" s="32"/>
      <c r="K78" s="32"/>
      <c r="L78" s="32"/>
    </row>
    <row r="79" spans="1:12" ht="13.8" thickBot="1" x14ac:dyDescent="0.3">
      <c r="A79" s="2" t="s">
        <v>173</v>
      </c>
      <c r="B79" s="423">
        <f>+C76+B40</f>
        <v>4372479.6000000006</v>
      </c>
      <c r="C79" s="208"/>
      <c r="D79" s="367"/>
      <c r="E79" s="367"/>
      <c r="F79" s="374"/>
      <c r="H79" s="32"/>
      <c r="I79" s="32"/>
      <c r="J79" s="32"/>
      <c r="K79" s="32"/>
    </row>
    <row r="80" spans="1:12" ht="13.8" thickTop="1" x14ac:dyDescent="0.25">
      <c r="A80" s="2" t="s">
        <v>174</v>
      </c>
      <c r="B80" s="14">
        <f>+B76+C40</f>
        <v>2757148.9312259308</v>
      </c>
      <c r="C80" s="396"/>
      <c r="D80" s="452"/>
      <c r="E80" s="302"/>
      <c r="F80" s="374"/>
      <c r="G80" s="32"/>
      <c r="H80" s="32"/>
      <c r="I80" s="32"/>
      <c r="J80" s="32"/>
    </row>
    <row r="81" spans="1:10" x14ac:dyDescent="0.25">
      <c r="A81" s="32"/>
      <c r="B81" s="47"/>
      <c r="C81" s="398"/>
      <c r="D81" s="302"/>
      <c r="E81" s="302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3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87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3" sqref="E33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148870</v>
      </c>
      <c r="C9" s="11">
        <v>147629</v>
      </c>
      <c r="D9" s="11">
        <v>11193</v>
      </c>
      <c r="E9" s="11">
        <v>11028</v>
      </c>
      <c r="F9" s="11">
        <f t="shared" ref="F9:F39" si="5">+C9-B9+E9-D9</f>
        <v>-1406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/>
      <c r="C10" s="11"/>
      <c r="D10" s="11"/>
      <c r="E10" s="11"/>
      <c r="F10" s="11">
        <f t="shared" si="5"/>
        <v>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5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5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294223</v>
      </c>
      <c r="C39" s="150">
        <f>SUM(C8:C38)</f>
        <v>294483</v>
      </c>
      <c r="D39" s="150">
        <f>SUM(D8:D38)</f>
        <v>20292</v>
      </c>
      <c r="E39" s="150">
        <f>SUM(E8:E38)</f>
        <v>19510</v>
      </c>
      <c r="F39" s="11">
        <f t="shared" si="5"/>
        <v>-522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37164</v>
      </c>
      <c r="C42" s="153"/>
      <c r="D42" s="153"/>
      <c r="E42" s="153"/>
      <c r="F42" s="465">
        <v>155797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37166</v>
      </c>
      <c r="C43" s="142"/>
      <c r="D43" s="142"/>
      <c r="E43" s="142"/>
      <c r="F43" s="150">
        <f>+F42+F39</f>
        <v>155275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37164</v>
      </c>
      <c r="B50" s="32"/>
      <c r="C50" s="32"/>
      <c r="D50" s="460">
        <v>701252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37166</v>
      </c>
      <c r="B51" s="32"/>
      <c r="C51" s="32"/>
      <c r="D51" s="400">
        <f>+F39*'by type_area'!J3</f>
        <v>-793.44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700458.56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3" workbookViewId="3">
      <selection activeCell="C29" sqref="C2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5">
      <c r="A36" s="12"/>
      <c r="B36" s="24">
        <f>SUM(B5:B35)</f>
        <v>-178663</v>
      </c>
      <c r="C36" s="24">
        <f>SUM(C5:C35)</f>
        <v>-180050</v>
      </c>
      <c r="D36" s="24">
        <f t="shared" si="0"/>
        <v>-1387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5">
      <c r="B38" s="253">
        <v>37164</v>
      </c>
      <c r="C38" s="24"/>
      <c r="D38" s="459">
        <v>54958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5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8" thickBot="1" x14ac:dyDescent="0.3">
      <c r="B40" s="253">
        <v>37166</v>
      </c>
      <c r="C40" s="24"/>
      <c r="D40" s="195">
        <f>+D36+D38</f>
        <v>53571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8" thickTop="1" x14ac:dyDescent="0.25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5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5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5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5">
      <c r="A45" s="49">
        <f>+B38</f>
        <v>37164</v>
      </c>
      <c r="B45" s="32"/>
      <c r="C45" s="32"/>
      <c r="D45" s="460">
        <v>-238799</v>
      </c>
    </row>
    <row r="46" spans="1:65" x14ac:dyDescent="0.25">
      <c r="A46" s="49">
        <f>+B40</f>
        <v>37166</v>
      </c>
      <c r="B46" s="32"/>
      <c r="C46" s="32"/>
      <c r="D46" s="400">
        <f>+D36*'by type_area'!J4</f>
        <v>-2219.2000000000003</v>
      </c>
    </row>
    <row r="47" spans="1:65" x14ac:dyDescent="0.25">
      <c r="A47" s="32"/>
      <c r="B47" s="32"/>
      <c r="C47" s="32"/>
      <c r="D47" s="202">
        <f>+D46+D45</f>
        <v>-241018.2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3" workbookViewId="3">
      <selection activeCell="B35" sqref="B3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69116</v>
      </c>
      <c r="C5" s="90">
        <v>73740</v>
      </c>
      <c r="D5" s="90">
        <f>+C5-B5</f>
        <v>4624</v>
      </c>
      <c r="E5" s="283"/>
      <c r="F5" s="281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10688</v>
      </c>
      <c r="C7" s="90">
        <v>12671</v>
      </c>
      <c r="D7" s="90">
        <f t="shared" si="0"/>
        <v>1983</v>
      </c>
      <c r="E7" s="283"/>
      <c r="F7" s="281"/>
      <c r="L7" t="s">
        <v>26</v>
      </c>
      <c r="M7">
        <v>7.6</v>
      </c>
    </row>
    <row r="8" spans="1:13" x14ac:dyDescent="0.25">
      <c r="A8" s="87">
        <v>500239</v>
      </c>
      <c r="B8" s="317">
        <v>12425</v>
      </c>
      <c r="C8" s="90">
        <v>10930</v>
      </c>
      <c r="D8" s="90">
        <f t="shared" si="0"/>
        <v>-1495</v>
      </c>
      <c r="E8" s="283"/>
      <c r="F8" s="281"/>
    </row>
    <row r="9" spans="1:13" x14ac:dyDescent="0.25">
      <c r="A9" s="87">
        <v>500293</v>
      </c>
      <c r="B9" s="90">
        <v>11091</v>
      </c>
      <c r="C9" s="90">
        <v>38973</v>
      </c>
      <c r="D9" s="90">
        <f t="shared" si="0"/>
        <v>27882</v>
      </c>
      <c r="E9" s="283"/>
      <c r="F9" s="281"/>
    </row>
    <row r="10" spans="1:13" x14ac:dyDescent="0.25">
      <c r="A10" s="87">
        <v>500302</v>
      </c>
      <c r="B10" s="317"/>
      <c r="C10" s="317">
        <v>652</v>
      </c>
      <c r="D10" s="90">
        <f t="shared" si="0"/>
        <v>652</v>
      </c>
      <c r="E10" s="283"/>
      <c r="F10" s="281"/>
    </row>
    <row r="11" spans="1:13" x14ac:dyDescent="0.25">
      <c r="A11" s="87">
        <v>500303</v>
      </c>
      <c r="B11" s="317">
        <v>6382</v>
      </c>
      <c r="C11" s="90">
        <v>9748</v>
      </c>
      <c r="D11" s="90">
        <f t="shared" si="0"/>
        <v>3366</v>
      </c>
      <c r="E11" s="283"/>
      <c r="F11" s="281"/>
    </row>
    <row r="12" spans="1:13" x14ac:dyDescent="0.25">
      <c r="A12" s="91">
        <v>500305</v>
      </c>
      <c r="B12" s="317">
        <v>64049</v>
      </c>
      <c r="C12" s="90">
        <v>84750</v>
      </c>
      <c r="D12" s="90">
        <f t="shared" si="0"/>
        <v>20701</v>
      </c>
      <c r="E12" s="284"/>
      <c r="F12" s="281"/>
    </row>
    <row r="13" spans="1:13" x14ac:dyDescent="0.25">
      <c r="A13" s="87">
        <v>500307</v>
      </c>
      <c r="B13" s="317">
        <v>331</v>
      </c>
      <c r="C13" s="90">
        <v>1701</v>
      </c>
      <c r="D13" s="90">
        <f t="shared" si="0"/>
        <v>1370</v>
      </c>
      <c r="E13" s="283"/>
      <c r="F13" s="281"/>
    </row>
    <row r="14" spans="1:13" x14ac:dyDescent="0.25">
      <c r="A14" s="87">
        <v>500313</v>
      </c>
      <c r="B14" s="90"/>
      <c r="C14" s="317"/>
      <c r="D14" s="90">
        <f t="shared" si="0"/>
        <v>0</v>
      </c>
      <c r="E14" s="283"/>
      <c r="F14" s="281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5">
      <c r="A16" s="87">
        <v>500655</v>
      </c>
      <c r="B16" s="323">
        <v>39924</v>
      </c>
      <c r="C16" s="90"/>
      <c r="D16" s="90">
        <f t="shared" si="0"/>
        <v>-39924</v>
      </c>
      <c r="E16" s="283"/>
      <c r="F16" s="281"/>
    </row>
    <row r="17" spans="1:6" x14ac:dyDescent="0.25">
      <c r="A17" s="87">
        <v>500657</v>
      </c>
      <c r="B17" s="333">
        <v>464</v>
      </c>
      <c r="C17" s="88"/>
      <c r="D17" s="94">
        <f t="shared" si="0"/>
        <v>-464</v>
      </c>
      <c r="E17" s="283"/>
      <c r="F17" s="281"/>
    </row>
    <row r="18" spans="1:6" x14ac:dyDescent="0.25">
      <c r="A18" s="87"/>
      <c r="B18" s="88"/>
      <c r="C18" s="88"/>
      <c r="D18" s="88">
        <f>SUM(D5:D17)</f>
        <v>18695</v>
      </c>
      <c r="E18" s="283"/>
      <c r="F18" s="281"/>
    </row>
    <row r="19" spans="1:6" x14ac:dyDescent="0.25">
      <c r="A19" s="87" t="s">
        <v>82</v>
      </c>
      <c r="B19" s="88"/>
      <c r="C19" s="88"/>
      <c r="D19" s="95">
        <f>+summary!H4</f>
        <v>1.6</v>
      </c>
      <c r="E19" s="285"/>
      <c r="F19" s="281"/>
    </row>
    <row r="20" spans="1:6" x14ac:dyDescent="0.25">
      <c r="A20" s="87"/>
      <c r="B20" s="88"/>
      <c r="C20" s="88"/>
      <c r="D20" s="96">
        <f>+D19*D18</f>
        <v>29912</v>
      </c>
      <c r="E20" s="209"/>
      <c r="F20" s="282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37164</v>
      </c>
      <c r="B22" s="88"/>
      <c r="C22" s="88"/>
      <c r="D22" s="473">
        <v>44777.43</v>
      </c>
      <c r="E22" s="209"/>
      <c r="F22" s="66"/>
    </row>
    <row r="23" spans="1:6" x14ac:dyDescent="0.25">
      <c r="A23" s="87"/>
      <c r="B23" s="88"/>
      <c r="C23" s="88"/>
      <c r="D23" s="320"/>
      <c r="E23" s="209"/>
      <c r="F23" s="66"/>
    </row>
    <row r="24" spans="1:6" ht="13.8" thickBot="1" x14ac:dyDescent="0.3">
      <c r="A24" s="99">
        <v>37166</v>
      </c>
      <c r="B24" s="88"/>
      <c r="C24" s="88"/>
      <c r="D24" s="332">
        <f>+D22+D20</f>
        <v>74689.429999999993</v>
      </c>
      <c r="E24" s="209"/>
      <c r="F24" s="66"/>
    </row>
    <row r="25" spans="1:6" ht="13.8" thickTop="1" x14ac:dyDescent="0.25">
      <c r="E25" s="286"/>
    </row>
    <row r="28" spans="1:6" x14ac:dyDescent="0.25">
      <c r="A28" s="32" t="s">
        <v>153</v>
      </c>
      <c r="B28" s="32"/>
      <c r="C28" s="32"/>
      <c r="D28" s="32"/>
    </row>
    <row r="29" spans="1:6" x14ac:dyDescent="0.25">
      <c r="A29" s="49">
        <f>+A22</f>
        <v>37164</v>
      </c>
      <c r="B29" s="32"/>
      <c r="C29" s="32"/>
      <c r="D29" s="468">
        <v>-10485</v>
      </c>
    </row>
    <row r="30" spans="1:6" x14ac:dyDescent="0.25">
      <c r="A30" s="49">
        <f>+A24</f>
        <v>37166</v>
      </c>
      <c r="B30" s="32"/>
      <c r="C30" s="32"/>
      <c r="D30" s="371">
        <f>+D18</f>
        <v>18695</v>
      </c>
    </row>
    <row r="31" spans="1:6" x14ac:dyDescent="0.25">
      <c r="A31" s="32"/>
      <c r="B31" s="32"/>
      <c r="C31" s="32"/>
      <c r="D31" s="14">
        <f>+D30+D29</f>
        <v>8210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E33" sqref="E3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6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6" t="s">
        <v>40</v>
      </c>
      <c r="I3" s="4" t="s">
        <v>20</v>
      </c>
      <c r="J3" s="4" t="s">
        <v>21</v>
      </c>
      <c r="K3" s="434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6"/>
      <c r="I4" s="14"/>
      <c r="J4" s="14"/>
      <c r="K4" s="14">
        <f t="shared" ref="K4:K9" si="0">+J4-I4</f>
        <v>0</v>
      </c>
      <c r="L4" s="382"/>
      <c r="M4" s="75">
        <f t="shared" ref="M4:M9" si="1">+L4*K4</f>
        <v>0</v>
      </c>
    </row>
    <row r="5" spans="1:14" x14ac:dyDescent="0.2">
      <c r="A5" s="41">
        <v>2</v>
      </c>
      <c r="B5" s="11">
        <v>29196</v>
      </c>
      <c r="C5" s="11">
        <v>31875</v>
      </c>
      <c r="D5" s="11">
        <v>35952</v>
      </c>
      <c r="E5" s="11">
        <v>35000</v>
      </c>
      <c r="F5" s="25">
        <f t="shared" ref="F5:F34" si="2">+E5+C5-D5-B5</f>
        <v>1727</v>
      </c>
      <c r="G5" s="25"/>
      <c r="H5" s="43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2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/>
      <c r="C6" s="11"/>
      <c r="D6" s="11"/>
      <c r="E6" s="11"/>
      <c r="F6" s="25">
        <f t="shared" si="2"/>
        <v>0</v>
      </c>
      <c r="G6" s="25"/>
      <c r="H6" s="43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2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3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2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3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2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3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2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36"/>
      <c r="I10" s="14"/>
      <c r="J10" s="14"/>
      <c r="K10" s="14"/>
      <c r="L10" s="382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36"/>
      <c r="I11" s="14"/>
      <c r="J11" s="14"/>
      <c r="K11" s="15"/>
      <c r="L11" s="382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36"/>
      <c r="I12" s="24"/>
      <c r="J12" s="24"/>
      <c r="K12" s="110"/>
      <c r="L12" s="43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3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56771</v>
      </c>
      <c r="C35" s="11">
        <f>SUM(C4:C34)</f>
        <v>63750</v>
      </c>
      <c r="D35" s="11">
        <f>SUM(D4:D34)</f>
        <v>69909</v>
      </c>
      <c r="E35" s="11">
        <f>SUM(E4:E34)</f>
        <v>70000</v>
      </c>
      <c r="F35" s="11">
        <f>+E35-D35+C35-B35</f>
        <v>7070</v>
      </c>
    </row>
    <row r="36" spans="1:7" x14ac:dyDescent="0.2">
      <c r="A36" s="45"/>
      <c r="C36" s="14">
        <f>+C35-B35</f>
        <v>6979</v>
      </c>
      <c r="D36" s="14"/>
      <c r="E36" s="14">
        <f>+E35-D35</f>
        <v>91</v>
      </c>
      <c r="F36" s="47"/>
    </row>
    <row r="37" spans="1:7" x14ac:dyDescent="0.2">
      <c r="C37" s="15">
        <f>+summary!H4</f>
        <v>1.6</v>
      </c>
      <c r="D37" s="15"/>
      <c r="E37" s="15">
        <f>+C37</f>
        <v>1.6</v>
      </c>
      <c r="F37" s="24"/>
    </row>
    <row r="38" spans="1:7" x14ac:dyDescent="0.2">
      <c r="C38" s="48">
        <f>+C37*C36</f>
        <v>11166.400000000001</v>
      </c>
      <c r="D38" s="47"/>
      <c r="E38" s="48">
        <f>+E37*E36</f>
        <v>145.6</v>
      </c>
      <c r="F38" s="46">
        <f>+E38+C38</f>
        <v>11312.000000000002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471">
        <v>270930.61</v>
      </c>
      <c r="D40" s="111"/>
      <c r="E40" s="471">
        <v>103505.72</v>
      </c>
      <c r="F40" s="348">
        <f>+E40+C40</f>
        <v>374436.32999999996</v>
      </c>
      <c r="G40" s="25"/>
    </row>
    <row r="41" spans="1:7" x14ac:dyDescent="0.2">
      <c r="A41" s="57">
        <v>37166</v>
      </c>
      <c r="C41" s="106">
        <f>+C40+C38</f>
        <v>282097.01</v>
      </c>
      <c r="D41" s="106"/>
      <c r="E41" s="106">
        <f>+E40+E38</f>
        <v>103651.32</v>
      </c>
      <c r="F41" s="106">
        <f>+E41+C41</f>
        <v>385748.33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469">
        <v>-19614</v>
      </c>
      <c r="E46" s="11"/>
      <c r="F46" s="11"/>
      <c r="G46" s="25"/>
    </row>
    <row r="47" spans="1:7" x14ac:dyDescent="0.2">
      <c r="A47" s="49">
        <f>+A41</f>
        <v>37166</v>
      </c>
      <c r="D47" s="371">
        <f>+F35</f>
        <v>7070</v>
      </c>
      <c r="E47" s="11"/>
      <c r="F47" s="11"/>
      <c r="G47" s="25"/>
    </row>
    <row r="48" spans="1:7" x14ac:dyDescent="0.2">
      <c r="D48" s="14">
        <f>+D47+D46</f>
        <v>-12544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C29" sqref="C2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/>
      <c r="C7" s="11"/>
      <c r="D7" s="11"/>
      <c r="E7" s="11"/>
      <c r="F7" s="11">
        <f t="shared" si="2"/>
        <v>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307843</v>
      </c>
      <c r="C36" s="11">
        <f>SUM(C5:C35)</f>
        <v>327217</v>
      </c>
      <c r="D36" s="11">
        <f>SUM(D5:D35)</f>
        <v>0</v>
      </c>
      <c r="E36" s="11">
        <f>SUM(E5:E35)</f>
        <v>-13300</v>
      </c>
      <c r="F36" s="11">
        <f>SUM(F5:F35)</f>
        <v>6074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37164</v>
      </c>
      <c r="F39" s="489">
        <v>51206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37166</v>
      </c>
      <c r="F41" s="349">
        <f>+F39+F36</f>
        <v>57280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37164</v>
      </c>
      <c r="C47" s="32"/>
      <c r="D47" s="32"/>
      <c r="E47" s="485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37166</v>
      </c>
      <c r="C48" s="32"/>
      <c r="D48" s="32"/>
      <c r="E48" s="400">
        <f>+F36*'by type_area'!J3</f>
        <v>9232.48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-337783.52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C33" sqref="C3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5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5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138582</v>
      </c>
      <c r="C39" s="11">
        <f>SUM(C8:C38)</f>
        <v>137376</v>
      </c>
      <c r="D39" s="11">
        <f>SUM(D8:D38)</f>
        <v>-1206</v>
      </c>
      <c r="E39" s="10"/>
      <c r="F39" s="11"/>
      <c r="G39" s="11"/>
      <c r="H39" s="11"/>
    </row>
    <row r="40" spans="1:8" x14ac:dyDescent="0.25">
      <c r="A40" s="26"/>
      <c r="D40" s="75">
        <f>+summary!H4</f>
        <v>1.6</v>
      </c>
      <c r="E40" s="26"/>
      <c r="H40" s="75"/>
    </row>
    <row r="41" spans="1:8" x14ac:dyDescent="0.25">
      <c r="D41" s="197">
        <f>+D40*D39</f>
        <v>-1929.6000000000001</v>
      </c>
      <c r="F41" s="250"/>
      <c r="H41" s="197"/>
    </row>
    <row r="42" spans="1:8" x14ac:dyDescent="0.25">
      <c r="A42" s="57">
        <v>37164</v>
      </c>
      <c r="D42" s="483">
        <v>48683</v>
      </c>
      <c r="E42" s="57"/>
      <c r="H42" s="197"/>
    </row>
    <row r="43" spans="1:8" x14ac:dyDescent="0.25">
      <c r="A43" s="57">
        <v>37166</v>
      </c>
      <c r="D43" s="198">
        <f>+D42+D41</f>
        <v>46753.4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153</v>
      </c>
      <c r="B47" s="32"/>
      <c r="C47" s="32"/>
      <c r="D47" s="32"/>
    </row>
    <row r="48" spans="1:8" x14ac:dyDescent="0.25">
      <c r="A48" s="49">
        <f>+A42</f>
        <v>37164</v>
      </c>
      <c r="B48" s="32"/>
      <c r="C48" s="32"/>
      <c r="D48" s="468">
        <v>-32354</v>
      </c>
    </row>
    <row r="49" spans="1:4" x14ac:dyDescent="0.25">
      <c r="A49" s="49">
        <f>+A43</f>
        <v>37166</v>
      </c>
      <c r="B49" s="32"/>
      <c r="C49" s="32"/>
      <c r="D49" s="371">
        <f>+D39</f>
        <v>-1206</v>
      </c>
    </row>
    <row r="50" spans="1:4" x14ac:dyDescent="0.25">
      <c r="A50" s="32"/>
      <c r="B50" s="32"/>
      <c r="C50" s="32"/>
      <c r="D50" s="14">
        <f>+D49+D48</f>
        <v>-33560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16" workbookViewId="3">
      <selection activeCell="A16" sqref="A16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4">
        <v>37164</v>
      </c>
      <c r="C5" s="477">
        <v>1336515.68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37166</v>
      </c>
      <c r="J7" s="32"/>
    </row>
    <row r="8" spans="1:10" x14ac:dyDescent="0.25">
      <c r="A8" s="251">
        <v>60874</v>
      </c>
      <c r="B8" s="357">
        <v>320</v>
      </c>
      <c r="J8" s="32"/>
    </row>
    <row r="9" spans="1:10" x14ac:dyDescent="0.25">
      <c r="A9" s="251">
        <v>78169</v>
      </c>
      <c r="B9" s="357">
        <f>52400-27720</f>
        <v>24680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1">
        <v>500248</v>
      </c>
      <c r="B11" s="359"/>
      <c r="J11" s="32"/>
    </row>
    <row r="12" spans="1:10" x14ac:dyDescent="0.25">
      <c r="A12" s="251">
        <v>500251</v>
      </c>
      <c r="B12" s="330">
        <f>829-742</f>
        <v>87</v>
      </c>
      <c r="J12" s="32"/>
    </row>
    <row r="13" spans="1:10" x14ac:dyDescent="0.25">
      <c r="A13" s="251">
        <v>500254</v>
      </c>
      <c r="B13" s="330">
        <f>216-511</f>
        <v>-295</v>
      </c>
      <c r="J13" s="32"/>
    </row>
    <row r="14" spans="1:10" x14ac:dyDescent="0.25">
      <c r="A14" s="32">
        <v>500255</v>
      </c>
      <c r="B14" s="330">
        <f>912-875</f>
        <v>37</v>
      </c>
      <c r="J14" s="32"/>
    </row>
    <row r="15" spans="1:10" x14ac:dyDescent="0.25">
      <c r="A15" s="32">
        <v>500262</v>
      </c>
      <c r="B15" s="330">
        <f>332-338</f>
        <v>-6</v>
      </c>
      <c r="J15" s="32"/>
    </row>
    <row r="16" spans="1:10" x14ac:dyDescent="0.25">
      <c r="A16" s="288">
        <v>500267</v>
      </c>
      <c r="B16" s="358">
        <f>106346-105014</f>
        <v>1332</v>
      </c>
      <c r="J16" s="32"/>
    </row>
    <row r="17" spans="1:10" x14ac:dyDescent="0.25">
      <c r="B17" s="14">
        <f>SUM(B8:B16)</f>
        <v>26155</v>
      </c>
      <c r="J17" s="32"/>
    </row>
    <row r="18" spans="1:10" x14ac:dyDescent="0.25">
      <c r="B18" s="15">
        <f>+B31</f>
        <v>1.6</v>
      </c>
      <c r="C18" s="201">
        <f>+B18*B17</f>
        <v>41848</v>
      </c>
      <c r="G18" s="32"/>
      <c r="H18" s="405"/>
      <c r="I18" s="14"/>
      <c r="J18" s="32"/>
    </row>
    <row r="19" spans="1:10" x14ac:dyDescent="0.25">
      <c r="C19" s="336">
        <f>+C18+C5</f>
        <v>1378363.68</v>
      </c>
      <c r="E19" s="15"/>
      <c r="G19" s="32"/>
      <c r="H19" s="405"/>
      <c r="I19" s="14"/>
      <c r="J19" s="32"/>
    </row>
    <row r="20" spans="1:10" x14ac:dyDescent="0.25">
      <c r="E20" s="15"/>
      <c r="G20" s="32"/>
      <c r="H20" s="405"/>
      <c r="I20" s="14"/>
      <c r="J20" s="32"/>
    </row>
    <row r="21" spans="1:10" x14ac:dyDescent="0.25">
      <c r="A21" s="32" t="s">
        <v>87</v>
      </c>
      <c r="G21" s="32"/>
      <c r="H21" s="405"/>
      <c r="I21" s="14"/>
      <c r="J21" s="32"/>
    </row>
    <row r="22" spans="1:10" x14ac:dyDescent="0.25">
      <c r="A22" s="2" t="s">
        <v>74</v>
      </c>
      <c r="G22" s="32"/>
      <c r="H22" s="405"/>
      <c r="I22" s="14"/>
      <c r="J22" s="32"/>
    </row>
    <row r="23" spans="1:10" x14ac:dyDescent="0.25">
      <c r="G23" s="32"/>
      <c r="H23" s="405"/>
      <c r="I23" s="14"/>
      <c r="J23" s="32"/>
    </row>
    <row r="24" spans="1:10" x14ac:dyDescent="0.25">
      <c r="G24" s="32"/>
      <c r="H24" s="405"/>
      <c r="I24" s="14"/>
      <c r="J24" s="32"/>
    </row>
    <row r="25" spans="1:10" x14ac:dyDescent="0.25">
      <c r="A25" s="200">
        <v>37164</v>
      </c>
      <c r="C25" s="477">
        <v>275313.71999999997</v>
      </c>
      <c r="G25" s="32"/>
      <c r="H25" s="15"/>
      <c r="I25" s="14"/>
      <c r="J25" s="32"/>
    </row>
    <row r="26" spans="1:10" x14ac:dyDescent="0.25">
      <c r="F26" s="265"/>
      <c r="G26" s="32"/>
      <c r="H26" s="15"/>
      <c r="I26" s="32"/>
      <c r="J26" s="32"/>
    </row>
    <row r="27" spans="1:10" x14ac:dyDescent="0.25">
      <c r="A27" s="57">
        <v>37166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1.6</v>
      </c>
      <c r="C31" s="201">
        <f>+B31*B30</f>
        <v>0</v>
      </c>
    </row>
    <row r="32" spans="1:10" x14ac:dyDescent="0.25">
      <c r="C32" s="336">
        <f>+C31+C25</f>
        <v>275313.71999999997</v>
      </c>
      <c r="E32" s="15"/>
    </row>
    <row r="34" spans="1:9" x14ac:dyDescent="0.25">
      <c r="E34" s="270"/>
    </row>
    <row r="35" spans="1:9" x14ac:dyDescent="0.25">
      <c r="E35" s="15"/>
    </row>
    <row r="36" spans="1:9" x14ac:dyDescent="0.25">
      <c r="A36" s="32" t="s">
        <v>87</v>
      </c>
      <c r="E36" s="32" t="s">
        <v>153</v>
      </c>
      <c r="F36" s="373">
        <v>24268</v>
      </c>
      <c r="G36" s="373">
        <v>24693</v>
      </c>
      <c r="H36" s="373">
        <v>24361</v>
      </c>
    </row>
    <row r="37" spans="1:9" x14ac:dyDescent="0.25">
      <c r="A37" s="32" t="s">
        <v>75</v>
      </c>
      <c r="E37" s="49">
        <f>+A5</f>
        <v>37164</v>
      </c>
      <c r="F37" s="468">
        <v>285450</v>
      </c>
      <c r="G37" s="478">
        <v>117857</v>
      </c>
      <c r="H37" s="468">
        <v>157582</v>
      </c>
      <c r="I37" s="14"/>
    </row>
    <row r="38" spans="1:9" x14ac:dyDescent="0.25">
      <c r="E38" s="49">
        <f>+A7</f>
        <v>37166</v>
      </c>
      <c r="F38" s="371">
        <f>+B17</f>
        <v>26155</v>
      </c>
      <c r="G38" s="371">
        <f>+B30</f>
        <v>0</v>
      </c>
      <c r="H38" s="371">
        <f>+B45</f>
        <v>347</v>
      </c>
      <c r="I38" s="14"/>
    </row>
    <row r="39" spans="1:9" x14ac:dyDescent="0.25">
      <c r="A39" s="49">
        <v>37164</v>
      </c>
      <c r="C39" s="477">
        <v>777555.1</v>
      </c>
      <c r="F39" s="14">
        <f>+F38+F37</f>
        <v>311605</v>
      </c>
      <c r="G39" s="14">
        <f>+G38+G37</f>
        <v>117857</v>
      </c>
      <c r="H39" s="14">
        <f>+H38+H37</f>
        <v>157929</v>
      </c>
      <c r="I39" s="14">
        <f>+H39+G39+F39</f>
        <v>587391</v>
      </c>
    </row>
    <row r="40" spans="1:9" x14ac:dyDescent="0.25">
      <c r="G40" s="32"/>
      <c r="H40" s="15"/>
      <c r="I40" s="32"/>
    </row>
    <row r="41" spans="1:9" x14ac:dyDescent="0.25">
      <c r="A41" s="247">
        <v>37166</v>
      </c>
      <c r="G41" s="32"/>
    </row>
    <row r="42" spans="1:9" x14ac:dyDescent="0.25">
      <c r="A42" s="251">
        <v>500241</v>
      </c>
      <c r="B42" s="14"/>
      <c r="G42" s="32"/>
    </row>
    <row r="43" spans="1:9" x14ac:dyDescent="0.25">
      <c r="A43" s="32">
        <v>500391</v>
      </c>
      <c r="B43" s="212">
        <v>161</v>
      </c>
      <c r="G43" s="32"/>
      <c r="H43" s="406"/>
      <c r="I43" s="14"/>
    </row>
    <row r="44" spans="1:9" x14ac:dyDescent="0.25">
      <c r="A44" s="32">
        <v>500392</v>
      </c>
      <c r="B44" s="255">
        <v>186</v>
      </c>
      <c r="G44" s="32"/>
      <c r="H44" s="406"/>
      <c r="I44" s="14"/>
    </row>
    <row r="45" spans="1:9" x14ac:dyDescent="0.25">
      <c r="B45" s="14">
        <f>SUM(B42:B44)</f>
        <v>347</v>
      </c>
      <c r="G45" s="32"/>
      <c r="H45" s="406"/>
      <c r="I45" s="14"/>
    </row>
    <row r="46" spans="1:9" x14ac:dyDescent="0.25">
      <c r="B46" s="201">
        <f>+B31</f>
        <v>1.6</v>
      </c>
      <c r="C46" s="201">
        <f>+B46*B45</f>
        <v>555.20000000000005</v>
      </c>
      <c r="H46" s="406"/>
      <c r="I46" s="14"/>
    </row>
    <row r="47" spans="1:9" x14ac:dyDescent="0.25">
      <c r="C47" s="336">
        <f>+C46+C39</f>
        <v>778110.29999999993</v>
      </c>
      <c r="E47" s="206"/>
      <c r="H47" s="406"/>
      <c r="I47" s="14"/>
    </row>
    <row r="48" spans="1:9" x14ac:dyDescent="0.25">
      <c r="E48" s="215"/>
      <c r="H48" s="406"/>
      <c r="I48" s="14"/>
    </row>
    <row r="49" spans="1:9" x14ac:dyDescent="0.25">
      <c r="E49" s="206"/>
      <c r="H49" s="406"/>
      <c r="I49" s="14"/>
    </row>
    <row r="50" spans="1:9" x14ac:dyDescent="0.25">
      <c r="C50" s="322"/>
      <c r="E50" s="215"/>
    </row>
    <row r="51" spans="1:9" x14ac:dyDescent="0.25">
      <c r="A51" s="32" t="s">
        <v>87</v>
      </c>
      <c r="C51" s="252"/>
    </row>
    <row r="52" spans="1:9" x14ac:dyDescent="0.25">
      <c r="A52" s="32">
        <v>21665</v>
      </c>
      <c r="B52" s="15" t="s">
        <v>140</v>
      </c>
      <c r="C52" s="475">
        <v>73449.16</v>
      </c>
      <c r="D52" s="32" t="s">
        <v>121</v>
      </c>
      <c r="E52" s="50"/>
      <c r="H52" s="406">
        <v>21665</v>
      </c>
      <c r="I52" s="14">
        <v>36403</v>
      </c>
    </row>
    <row r="53" spans="1:9" x14ac:dyDescent="0.25">
      <c r="A53" s="32">
        <v>22664</v>
      </c>
      <c r="B53" s="15" t="s">
        <v>140</v>
      </c>
      <c r="C53" s="476">
        <v>23612.35</v>
      </c>
      <c r="D53" s="32" t="s">
        <v>122</v>
      </c>
      <c r="H53" s="406">
        <v>22664</v>
      </c>
      <c r="I53" s="208">
        <v>18932</v>
      </c>
    </row>
    <row r="54" spans="1:9" x14ac:dyDescent="0.25">
      <c r="H54" s="407"/>
      <c r="I54" s="16"/>
    </row>
    <row r="55" spans="1:9" x14ac:dyDescent="0.25">
      <c r="C55" s="451"/>
    </row>
    <row r="56" spans="1:9" x14ac:dyDescent="0.25">
      <c r="C56" s="329">
        <f>+C53+C52+C47+C32+C19</f>
        <v>2528849.21</v>
      </c>
      <c r="I56" s="14">
        <f>SUM(I39:I53)</f>
        <v>642726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7" sqref="B17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6">
        <v>23995</v>
      </c>
      <c r="C1" s="233"/>
      <c r="D1" s="325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5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5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3">
        <v>23995</v>
      </c>
      <c r="J33" s="373">
        <v>22051</v>
      </c>
      <c r="K33" s="373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468">
        <v>-178485</v>
      </c>
      <c r="J34" s="468">
        <v>-74794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49836</v>
      </c>
      <c r="E35" s="11">
        <f>SUM(E4:E34)</f>
        <v>47986</v>
      </c>
      <c r="F35" s="11">
        <f>SUM(F4:F34)</f>
        <v>-1850</v>
      </c>
      <c r="G35" s="11"/>
      <c r="H35" s="49">
        <f>+A40</f>
        <v>37166</v>
      </c>
      <c r="I35" s="371">
        <f>+C36</f>
        <v>0</v>
      </c>
      <c r="J35" s="371">
        <f>+E36</f>
        <v>-1850</v>
      </c>
      <c r="K35" s="208"/>
      <c r="L35" s="14"/>
    </row>
    <row r="36" spans="1:13" x14ac:dyDescent="0.25">
      <c r="C36" s="25">
        <f>+C35-B35</f>
        <v>0</v>
      </c>
      <c r="E36" s="25">
        <f>+E35-D35</f>
        <v>-1850</v>
      </c>
      <c r="F36" s="25">
        <f>+E36+C36</f>
        <v>-1850</v>
      </c>
      <c r="H36" s="32"/>
      <c r="I36" s="14">
        <f>+I35+I34</f>
        <v>-178485</v>
      </c>
      <c r="J36" s="14">
        <f>+J35+J34</f>
        <v>-76644</v>
      </c>
      <c r="K36" s="14">
        <f>+J36+I36</f>
        <v>-255129</v>
      </c>
      <c r="L36" s="14"/>
    </row>
    <row r="37" spans="1:13" x14ac:dyDescent="0.25">
      <c r="C37" s="327">
        <f>+summary!H5</f>
        <v>1.64</v>
      </c>
      <c r="E37" s="104">
        <f>+C37</f>
        <v>1.64</v>
      </c>
      <c r="F37" s="138">
        <f>+F36*E37</f>
        <v>-3034</v>
      </c>
    </row>
    <row r="38" spans="1:13" x14ac:dyDescent="0.25">
      <c r="C38" s="138">
        <f>+C37*C36</f>
        <v>0</v>
      </c>
      <c r="E38" s="136">
        <f>+E37*E36</f>
        <v>-3034</v>
      </c>
      <c r="F38" s="138">
        <f>+E38+C38</f>
        <v>-3034</v>
      </c>
    </row>
    <row r="39" spans="1:13" x14ac:dyDescent="0.25">
      <c r="A39" s="57">
        <v>37164</v>
      </c>
      <c r="B39" s="2" t="s">
        <v>46</v>
      </c>
      <c r="C39" s="479">
        <v>-1023166.39</v>
      </c>
      <c r="D39" s="335"/>
      <c r="E39" s="466">
        <v>-454550</v>
      </c>
      <c r="F39" s="334">
        <f>+E39+C39</f>
        <v>-1477716.3900000001</v>
      </c>
    </row>
    <row r="40" spans="1:13" x14ac:dyDescent="0.25">
      <c r="A40" s="57">
        <v>37166</v>
      </c>
      <c r="B40" s="2" t="s">
        <v>46</v>
      </c>
      <c r="C40" s="328">
        <f>+C39+C38</f>
        <v>-1023166.39</v>
      </c>
      <c r="D40" s="257"/>
      <c r="E40" s="328">
        <f>+E39+E38</f>
        <v>-457584</v>
      </c>
      <c r="F40" s="328">
        <f>+E40+C40</f>
        <v>-1480750.3900000001</v>
      </c>
      <c r="H40" s="131"/>
    </row>
    <row r="41" spans="1:13" x14ac:dyDescent="0.25">
      <c r="C41" s="344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477">
        <v>-58339.66</v>
      </c>
      <c r="G44" s="252" t="s">
        <v>48</v>
      </c>
      <c r="J44" s="12">
        <v>22864</v>
      </c>
      <c r="K44" s="14">
        <v>-24566</v>
      </c>
    </row>
    <row r="45" spans="1:13" x14ac:dyDescent="0.25">
      <c r="C45" s="248"/>
      <c r="D45" s="248"/>
      <c r="E45" s="12">
        <v>20379</v>
      </c>
      <c r="F45" s="477">
        <v>-51695.87</v>
      </c>
      <c r="G45" s="252" t="s">
        <v>124</v>
      </c>
      <c r="J45" s="12">
        <v>20379</v>
      </c>
      <c r="K45" s="14">
        <v>2979</v>
      </c>
      <c r="M45" s="14"/>
    </row>
    <row r="46" spans="1:13" x14ac:dyDescent="0.25">
      <c r="C46" s="248"/>
      <c r="D46" s="248"/>
      <c r="E46" s="12">
        <v>26357</v>
      </c>
      <c r="F46" s="480">
        <v>44144.84</v>
      </c>
      <c r="G46" s="252" t="s">
        <v>125</v>
      </c>
      <c r="J46" s="12">
        <v>26357</v>
      </c>
      <c r="K46" s="14">
        <v>26521</v>
      </c>
    </row>
    <row r="47" spans="1:13" x14ac:dyDescent="0.25">
      <c r="C47" s="248"/>
      <c r="D47" s="248"/>
      <c r="E47" s="12">
        <v>21544</v>
      </c>
      <c r="F47" s="477">
        <v>61340.160000000003</v>
      </c>
      <c r="G47" s="252" t="s">
        <v>126</v>
      </c>
      <c r="J47" s="12">
        <v>21544</v>
      </c>
      <c r="K47" s="14">
        <v>36108</v>
      </c>
    </row>
    <row r="48" spans="1:13" x14ac:dyDescent="0.25">
      <c r="C48" s="248"/>
      <c r="D48" s="248"/>
      <c r="E48" s="12">
        <v>24532</v>
      </c>
      <c r="F48" s="481">
        <v>-933276.39</v>
      </c>
      <c r="G48" s="252" t="s">
        <v>123</v>
      </c>
      <c r="J48" s="12">
        <v>24532</v>
      </c>
      <c r="K48" s="212">
        <v>-42250</v>
      </c>
    </row>
    <row r="49" spans="3:13" x14ac:dyDescent="0.25">
      <c r="C49" s="248"/>
      <c r="D49" s="248"/>
      <c r="F49" s="345">
        <f>SUM(F40:F48)</f>
        <v>-2418577.31</v>
      </c>
      <c r="G49" s="248"/>
      <c r="K49" s="14">
        <f>SUM(K36:K48)</f>
        <v>-256337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141</v>
      </c>
      <c r="F51" s="138">
        <f>+Duke!C56</f>
        <v>2528849.21</v>
      </c>
      <c r="M51" s="14">
        <f>+Duke!I56</f>
        <v>642726</v>
      </c>
    </row>
    <row r="53" spans="3:13" x14ac:dyDescent="0.25">
      <c r="F53" s="104">
        <f>+F51+F49</f>
        <v>110271.89999999991</v>
      </c>
      <c r="M53" s="16">
        <f>+M51+K49</f>
        <v>386389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62"/>
    </row>
    <row r="63" spans="3:13" x14ac:dyDescent="0.25">
      <c r="F63" s="362"/>
    </row>
    <row r="64" spans="3:13" x14ac:dyDescent="0.25">
      <c r="F64" s="36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33" sqref="G33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/>
      <c r="G10" s="11"/>
      <c r="H10" s="11"/>
      <c r="I10" s="11"/>
      <c r="J10" s="25">
        <f t="shared" si="0"/>
        <v>0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12382</v>
      </c>
      <c r="C39" s="11">
        <f t="shared" si="1"/>
        <v>12372</v>
      </c>
      <c r="D39" s="11">
        <f t="shared" si="1"/>
        <v>0</v>
      </c>
      <c r="E39" s="11">
        <f t="shared" si="1"/>
        <v>0</v>
      </c>
      <c r="F39" s="11">
        <f t="shared" si="1"/>
        <v>1827</v>
      </c>
      <c r="G39" s="11">
        <f t="shared" si="1"/>
        <v>1922</v>
      </c>
      <c r="H39" s="11">
        <f t="shared" si="1"/>
        <v>3269</v>
      </c>
      <c r="I39" s="11">
        <f t="shared" si="1"/>
        <v>3430</v>
      </c>
      <c r="J39" s="25">
        <f t="shared" si="1"/>
        <v>246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1.6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393.6</v>
      </c>
      <c r="L41"/>
      <c r="R41" s="138"/>
      <c r="X41" s="138"/>
    </row>
    <row r="42" spans="1:24" x14ac:dyDescent="0.25">
      <c r="A42" s="57">
        <v>37164</v>
      </c>
      <c r="C42" s="15"/>
      <c r="J42" s="474">
        <v>350086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37166</v>
      </c>
      <c r="C43" s="48"/>
      <c r="J43" s="138">
        <f>+J42+J41</f>
        <v>350479.6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153</v>
      </c>
      <c r="B46" s="32"/>
      <c r="C46" s="32"/>
      <c r="D46" s="32"/>
      <c r="L46"/>
    </row>
    <row r="47" spans="1:24" x14ac:dyDescent="0.25">
      <c r="A47" s="49">
        <f>+A42</f>
        <v>37164</v>
      </c>
      <c r="B47" s="32"/>
      <c r="C47" s="32"/>
      <c r="D47" s="468">
        <v>139304</v>
      </c>
      <c r="L47"/>
    </row>
    <row r="48" spans="1:24" x14ac:dyDescent="0.25">
      <c r="A48" s="49">
        <f>+A43</f>
        <v>37166</v>
      </c>
      <c r="B48" s="32"/>
      <c r="C48" s="32"/>
      <c r="D48" s="371">
        <f>+J39</f>
        <v>246</v>
      </c>
      <c r="L48"/>
    </row>
    <row r="49" spans="1:12" x14ac:dyDescent="0.25">
      <c r="A49" s="32"/>
      <c r="B49" s="32"/>
      <c r="C49" s="32"/>
      <c r="D49" s="14">
        <f>+D48+D47</f>
        <v>139550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5" workbookViewId="3">
      <selection activeCell="D30" sqref="D30"/>
    </sheetView>
  </sheetViews>
  <sheetFormatPr defaultRowHeight="13.2" x14ac:dyDescent="0.25"/>
  <cols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192</v>
      </c>
      <c r="C6" s="293"/>
      <c r="D6" s="34" t="s">
        <v>193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61" t="s">
        <v>11</v>
      </c>
      <c r="B7" s="492" t="s">
        <v>20</v>
      </c>
      <c r="C7" s="492" t="s">
        <v>21</v>
      </c>
      <c r="D7" s="492" t="s">
        <v>20</v>
      </c>
      <c r="E7" s="492" t="s">
        <v>21</v>
      </c>
      <c r="F7" s="49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93">
        <v>1</v>
      </c>
      <c r="B8" s="441">
        <v>12831</v>
      </c>
      <c r="C8" s="441">
        <v>12837</v>
      </c>
      <c r="D8" s="441">
        <v>-114</v>
      </c>
      <c r="E8" s="441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93">
        <v>2</v>
      </c>
      <c r="B9" s="441">
        <v>13029</v>
      </c>
      <c r="C9" s="441">
        <v>8071</v>
      </c>
      <c r="D9" s="441">
        <v>-153</v>
      </c>
      <c r="E9" s="441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93">
        <v>3</v>
      </c>
      <c r="B10" s="441"/>
      <c r="C10" s="441"/>
      <c r="D10" s="441"/>
      <c r="E10" s="441"/>
      <c r="F10" s="319">
        <f t="shared" si="0"/>
        <v>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93">
        <v>4</v>
      </c>
      <c r="B11" s="441"/>
      <c r="C11" s="441"/>
      <c r="D11" s="441"/>
      <c r="E11" s="441"/>
      <c r="F11" s="319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93">
        <v>5</v>
      </c>
      <c r="B12" s="441"/>
      <c r="C12" s="441"/>
      <c r="D12" s="441"/>
      <c r="E12" s="441"/>
      <c r="F12" s="319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93">
        <v>6</v>
      </c>
      <c r="B13" s="441"/>
      <c r="C13" s="441"/>
      <c r="D13" s="441"/>
      <c r="E13" s="441"/>
      <c r="F13" s="319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93">
        <v>7</v>
      </c>
      <c r="B14" s="441"/>
      <c r="C14" s="441"/>
      <c r="D14" s="441"/>
      <c r="E14" s="441"/>
      <c r="F14" s="319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93">
        <v>8</v>
      </c>
      <c r="B15" s="441"/>
      <c r="C15" s="441"/>
      <c r="D15" s="441"/>
      <c r="E15" s="441"/>
      <c r="F15" s="319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93">
        <v>9</v>
      </c>
      <c r="B16" s="441"/>
      <c r="C16" s="441"/>
      <c r="D16" s="441"/>
      <c r="E16" s="441"/>
      <c r="F16" s="319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93">
        <v>10</v>
      </c>
      <c r="B17" s="441"/>
      <c r="C17" s="441"/>
      <c r="D17" s="441"/>
      <c r="E17" s="441"/>
      <c r="F17" s="319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93">
        <v>11</v>
      </c>
      <c r="B18" s="441"/>
      <c r="C18" s="441"/>
      <c r="D18" s="441"/>
      <c r="E18" s="441"/>
      <c r="F18" s="319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93">
        <v>12</v>
      </c>
      <c r="B19" s="441"/>
      <c r="C19" s="441"/>
      <c r="D19" s="441"/>
      <c r="E19" s="441"/>
      <c r="F19" s="319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93">
        <v>13</v>
      </c>
      <c r="B20" s="441"/>
      <c r="C20" s="441"/>
      <c r="D20" s="441"/>
      <c r="E20" s="441"/>
      <c r="F20" s="319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93">
        <v>14</v>
      </c>
      <c r="B21" s="441"/>
      <c r="C21" s="441"/>
      <c r="D21" s="441"/>
      <c r="E21" s="441"/>
      <c r="F21" s="319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93">
        <v>15</v>
      </c>
      <c r="B22" s="441"/>
      <c r="C22" s="441"/>
      <c r="D22" s="441"/>
      <c r="E22" s="441"/>
      <c r="F22" s="319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93">
        <v>16</v>
      </c>
      <c r="B23" s="441"/>
      <c r="C23" s="441"/>
      <c r="D23" s="441"/>
      <c r="E23" s="441"/>
      <c r="F23" s="319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93">
        <v>17</v>
      </c>
      <c r="B24" s="441"/>
      <c r="C24" s="441"/>
      <c r="D24" s="441"/>
      <c r="E24" s="441"/>
      <c r="F24" s="319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93">
        <v>18</v>
      </c>
      <c r="B25" s="441"/>
      <c r="C25" s="441"/>
      <c r="D25" s="441"/>
      <c r="E25" s="441"/>
      <c r="F25" s="319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93">
        <v>19</v>
      </c>
      <c r="B26" s="441"/>
      <c r="C26" s="441"/>
      <c r="D26" s="441"/>
      <c r="E26" s="441"/>
      <c r="F26" s="319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93">
        <v>20</v>
      </c>
      <c r="B27" s="441"/>
      <c r="C27" s="441"/>
      <c r="D27" s="441"/>
      <c r="E27" s="441"/>
      <c r="F27" s="319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93">
        <v>21</v>
      </c>
      <c r="B28" s="441"/>
      <c r="C28" s="441"/>
      <c r="D28" s="441"/>
      <c r="E28" s="441"/>
      <c r="F28" s="319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93">
        <v>22</v>
      </c>
      <c r="B29" s="441"/>
      <c r="C29" s="441"/>
      <c r="D29" s="441"/>
      <c r="E29" s="441"/>
      <c r="F29" s="319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93">
        <v>23</v>
      </c>
      <c r="B30" s="441"/>
      <c r="C30" s="441"/>
      <c r="D30" s="441"/>
      <c r="E30" s="441"/>
      <c r="F30" s="319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93">
        <v>24</v>
      </c>
      <c r="B31" s="441"/>
      <c r="C31" s="441"/>
      <c r="D31" s="441"/>
      <c r="E31" s="441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93">
        <v>25</v>
      </c>
      <c r="B32" s="441"/>
      <c r="C32" s="441"/>
      <c r="D32" s="441"/>
      <c r="E32" s="441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93">
        <v>26</v>
      </c>
      <c r="B33" s="441"/>
      <c r="C33" s="441"/>
      <c r="D33" s="441"/>
      <c r="E33" s="441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93">
        <v>27</v>
      </c>
      <c r="B34" s="441"/>
      <c r="C34" s="441"/>
      <c r="D34" s="441"/>
      <c r="E34" s="441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93">
        <v>28</v>
      </c>
      <c r="B35" s="441"/>
      <c r="C35" s="441"/>
      <c r="D35" s="441"/>
      <c r="E35" s="441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93">
        <v>29</v>
      </c>
      <c r="B36" s="441"/>
      <c r="C36" s="441"/>
      <c r="D36" s="441"/>
      <c r="E36" s="441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93">
        <v>30</v>
      </c>
      <c r="B37" s="441"/>
      <c r="C37" s="441"/>
      <c r="D37" s="441"/>
      <c r="E37" s="441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93">
        <v>31</v>
      </c>
      <c r="B38" s="441"/>
      <c r="C38" s="441"/>
      <c r="D38" s="441"/>
      <c r="E38" s="441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93"/>
      <c r="B39" s="441">
        <f>SUM(B8:B38)</f>
        <v>25860</v>
      </c>
      <c r="C39" s="441">
        <f>SUM(C8:C38)</f>
        <v>20908</v>
      </c>
      <c r="D39" s="441">
        <f>SUM(D8:D38)</f>
        <v>-267</v>
      </c>
      <c r="E39" s="441">
        <f>SUM(E8:E38)</f>
        <v>0</v>
      </c>
      <c r="F39" s="441">
        <f>SUM(F8:F38)</f>
        <v>-4685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94"/>
      <c r="B40" s="293"/>
      <c r="C40" s="495"/>
      <c r="D40" s="495"/>
      <c r="E40" s="495"/>
      <c r="F40" s="496">
        <f>+summary!H4</f>
        <v>1.6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3"/>
      <c r="B41" s="293"/>
      <c r="C41" s="293"/>
      <c r="D41" s="293"/>
      <c r="E41" s="293"/>
      <c r="F41" s="497">
        <f>+F40*F39</f>
        <v>-7496</v>
      </c>
      <c r="J41" s="138"/>
      <c r="N41" s="138"/>
      <c r="R41" s="138"/>
      <c r="V41" s="138"/>
      <c r="Z41" s="138"/>
    </row>
    <row r="42" spans="1:26" ht="15" customHeight="1" x14ac:dyDescent="0.25">
      <c r="A42" s="56">
        <v>37164</v>
      </c>
      <c r="B42" s="293"/>
      <c r="C42" s="498"/>
      <c r="D42" s="498"/>
      <c r="E42" s="498"/>
      <c r="F42" s="499">
        <v>390553.7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37166</v>
      </c>
      <c r="B43" s="293"/>
      <c r="C43" s="500"/>
      <c r="D43" s="500"/>
      <c r="E43" s="500"/>
      <c r="F43" s="447">
        <f>+F42+F41</f>
        <v>383057.7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153</v>
      </c>
      <c r="B46" s="32"/>
      <c r="C46" s="32"/>
      <c r="D46" s="32"/>
      <c r="E46" s="11"/>
    </row>
    <row r="47" spans="1:26" x14ac:dyDescent="0.25">
      <c r="A47" s="49">
        <f>+A42</f>
        <v>37164</v>
      </c>
      <c r="B47" s="32"/>
      <c r="C47" s="32"/>
      <c r="D47" s="468">
        <v>-261011</v>
      </c>
      <c r="E47" s="11"/>
    </row>
    <row r="48" spans="1:26" x14ac:dyDescent="0.25">
      <c r="A48" s="49">
        <f>+A43</f>
        <v>37166</v>
      </c>
      <c r="B48" s="32"/>
      <c r="C48" s="32"/>
      <c r="D48" s="371">
        <f>+F39</f>
        <v>-4685</v>
      </c>
      <c r="E48" s="11"/>
    </row>
    <row r="49" spans="1:5" x14ac:dyDescent="0.25">
      <c r="A49" s="32"/>
      <c r="B49" s="32"/>
      <c r="C49" s="32"/>
      <c r="D49" s="14">
        <f>+D48+D47</f>
        <v>-265696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23" workbookViewId="2">
      <selection activeCell="J34" sqref="J34"/>
    </sheetView>
    <sheetView tabSelected="1" workbookViewId="3">
      <selection activeCell="E12" sqref="E12"/>
    </sheetView>
  </sheetViews>
  <sheetFormatPr defaultRowHeight="13.2" x14ac:dyDescent="0.25"/>
  <cols>
    <col min="1" max="1" width="16.44140625" style="293" customWidth="1"/>
    <col min="2" max="2" width="12.33203125" style="250" bestFit="1" customWidth="1"/>
    <col min="3" max="3" width="11.5546875" style="294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0" t="s">
        <v>143</v>
      </c>
      <c r="G2" s="388" t="s">
        <v>79</v>
      </c>
      <c r="H2" s="365"/>
    </row>
    <row r="3" spans="1:32" ht="15" customHeight="1" x14ac:dyDescent="0.25">
      <c r="G3" s="297" t="s">
        <v>30</v>
      </c>
      <c r="H3" s="364">
        <f>+'[1]0901'!$K$39</f>
        <v>1.52</v>
      </c>
      <c r="I3" s="399">
        <f ca="1">NOW()</f>
        <v>37168.555771527776</v>
      </c>
    </row>
    <row r="4" spans="1:32" ht="15" customHeight="1" x14ac:dyDescent="0.25">
      <c r="A4" s="34" t="s">
        <v>149</v>
      </c>
      <c r="C4" s="34" t="s">
        <v>5</v>
      </c>
      <c r="G4" s="298" t="s">
        <v>31</v>
      </c>
      <c r="H4" s="299">
        <f>+'[1]0901'!$M$39</f>
        <v>1.6</v>
      </c>
    </row>
    <row r="5" spans="1:32" ht="15" customHeight="1" x14ac:dyDescent="0.25">
      <c r="B5" s="362"/>
      <c r="G5" s="297" t="s">
        <v>118</v>
      </c>
      <c r="H5" s="364">
        <f>+'[1]0901'!$H$39</f>
        <v>1.64</v>
      </c>
    </row>
    <row r="6" spans="1:32" ht="12" customHeight="1" x14ac:dyDescent="0.25">
      <c r="C6" s="506" t="s">
        <v>198</v>
      </c>
    </row>
    <row r="7" spans="1:32" ht="15" customHeight="1" x14ac:dyDescent="0.25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5">
      <c r="A8" s="251" t="s">
        <v>108</v>
      </c>
      <c r="B8" s="367">
        <f>+KN_Westar!F41</f>
        <v>483326.7</v>
      </c>
      <c r="C8" s="283">
        <f t="shared" ref="C8:C16" si="0">+B8/$H$4</f>
        <v>302079.1875</v>
      </c>
      <c r="D8" s="390">
        <f>+KN_Westar!A41</f>
        <v>37164</v>
      </c>
      <c r="E8" s="32" t="s">
        <v>86</v>
      </c>
      <c r="F8" s="32" t="s">
        <v>101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66" t="s">
        <v>33</v>
      </c>
      <c r="B9" s="367">
        <f>+C9*$H$4</f>
        <v>458750.4</v>
      </c>
      <c r="C9" s="208">
        <f>+SoCal!F40</f>
        <v>286719</v>
      </c>
      <c r="D9" s="389">
        <f>+SoCal!A40</f>
        <v>37166</v>
      </c>
      <c r="E9" s="206" t="s">
        <v>85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1" t="s">
        <v>151</v>
      </c>
      <c r="B10" s="367">
        <f>+PGETX!$H$39</f>
        <v>447179</v>
      </c>
      <c r="C10" s="283">
        <f t="shared" si="0"/>
        <v>279486.875</v>
      </c>
      <c r="D10" s="390">
        <f>+PGETX!E39</f>
        <v>37166</v>
      </c>
      <c r="E10" s="32" t="s">
        <v>86</v>
      </c>
      <c r="F10" s="32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366" t="s">
        <v>88</v>
      </c>
      <c r="B11" s="367">
        <f>+NNG!$D$24</f>
        <v>426191.4</v>
      </c>
      <c r="C11" s="283">
        <f t="shared" si="0"/>
        <v>266369.625</v>
      </c>
      <c r="D11" s="389">
        <f>+NNG!A24</f>
        <v>37166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1" t="s">
        <v>111</v>
      </c>
      <c r="B12" s="367">
        <f>+CIG!$D$43</f>
        <v>394424</v>
      </c>
      <c r="C12" s="283">
        <f t="shared" si="0"/>
        <v>246515</v>
      </c>
      <c r="D12" s="390">
        <f>+CIG!A43</f>
        <v>37166</v>
      </c>
      <c r="E12" s="32" t="s">
        <v>86</v>
      </c>
      <c r="F12" s="32" t="s">
        <v>114</v>
      </c>
      <c r="G12" s="32" t="s">
        <v>191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1" t="s">
        <v>81</v>
      </c>
      <c r="B13" s="367">
        <f>+Conoco!$F$41</f>
        <v>385748.33</v>
      </c>
      <c r="C13" s="283">
        <f>+B13/$H$4</f>
        <v>241092.70624999999</v>
      </c>
      <c r="D13" s="389">
        <f>+Conoco!A41</f>
        <v>37166</v>
      </c>
      <c r="E13" s="32" t="s">
        <v>86</v>
      </c>
      <c r="F13" s="32" t="s">
        <v>114</v>
      </c>
      <c r="G13" s="32" t="s">
        <v>146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1" t="s">
        <v>3</v>
      </c>
      <c r="B14" s="367">
        <f>+'Amoco Abo'!$F$43</f>
        <v>383057.7</v>
      </c>
      <c r="C14" s="283">
        <f t="shared" si="0"/>
        <v>239411.0625</v>
      </c>
      <c r="D14" s="390">
        <f>+'Amoco Abo'!A43</f>
        <v>37166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366" t="s">
        <v>29</v>
      </c>
      <c r="B15" s="367">
        <f>+C15*$H$3</f>
        <v>373286.16000000003</v>
      </c>
      <c r="C15" s="283">
        <f>+williams!J40</f>
        <v>245583</v>
      </c>
      <c r="D15" s="389">
        <f>+williams!A40</f>
        <v>37166</v>
      </c>
      <c r="E15" s="206" t="s">
        <v>85</v>
      </c>
      <c r="F15" s="206" t="s">
        <v>148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1" t="s">
        <v>2</v>
      </c>
      <c r="B16" s="367">
        <f>+mewborne!$J$43</f>
        <v>350479.6</v>
      </c>
      <c r="C16" s="283">
        <f t="shared" si="0"/>
        <v>219049.74999999997</v>
      </c>
      <c r="D16" s="390">
        <f>+mewborne!A43</f>
        <v>37166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1" t="s">
        <v>95</v>
      </c>
      <c r="B17" s="367">
        <f>+C17*$H$4</f>
        <v>253881.60000000001</v>
      </c>
      <c r="C17" s="283">
        <f>+Mojave!D40</f>
        <v>158676</v>
      </c>
      <c r="D17" s="390">
        <f>+Mojave!A40</f>
        <v>37166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1" t="s">
        <v>83</v>
      </c>
      <c r="B18" s="367">
        <f>+PNM!$D$23</f>
        <v>240457.03</v>
      </c>
      <c r="C18" s="283">
        <f>+B18/$H$4</f>
        <v>150285.64374999999</v>
      </c>
      <c r="D18" s="390">
        <f>+PNM!A23</f>
        <v>37166</v>
      </c>
      <c r="E18" s="32" t="s">
        <v>86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1" t="s">
        <v>24</v>
      </c>
      <c r="B19" s="433">
        <f>+C19*$H$3</f>
        <v>236018</v>
      </c>
      <c r="C19" s="369">
        <f>+'Red C'!F43</f>
        <v>155275</v>
      </c>
      <c r="D19" s="389">
        <f>+'Red C'!B43</f>
        <v>37166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1" t="s">
        <v>89</v>
      </c>
      <c r="B20" s="367">
        <f>+C20*$H$4</f>
        <v>199264</v>
      </c>
      <c r="C20" s="283">
        <f>+NGPL!F38</f>
        <v>124540</v>
      </c>
      <c r="D20" s="390">
        <f>+NGPL!A38</f>
        <v>37166</v>
      </c>
      <c r="E20" s="32" t="s">
        <v>85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1" t="s">
        <v>115</v>
      </c>
      <c r="B21" s="367">
        <f>+C21*$H$4</f>
        <v>118052.8</v>
      </c>
      <c r="C21" s="208">
        <f>+'PG&amp;E'!D40</f>
        <v>73783</v>
      </c>
      <c r="D21" s="390">
        <f>+'PG&amp;E'!A40</f>
        <v>37166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1" t="s">
        <v>32</v>
      </c>
      <c r="B22" s="367">
        <f>+C22*$H$4</f>
        <v>114728</v>
      </c>
      <c r="C22" s="283">
        <f>+Lonestar!F42</f>
        <v>71705</v>
      </c>
      <c r="D22" s="389">
        <f>+Lonestar!B42</f>
        <v>37166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1" t="s">
        <v>129</v>
      </c>
      <c r="B23" s="367">
        <f>+DEFS!F53</f>
        <v>110271.89999999991</v>
      </c>
      <c r="C23" s="208">
        <f>+B23/$H$4</f>
        <v>68919.937499999942</v>
      </c>
      <c r="D23" s="389">
        <f>+DEFS!A40</f>
        <v>37166</v>
      </c>
      <c r="E23" s="32" t="s">
        <v>86</v>
      </c>
      <c r="F23" s="32" t="s">
        <v>101</v>
      </c>
      <c r="G23" s="32" t="s">
        <v>119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1" t="s">
        <v>1</v>
      </c>
      <c r="B24" s="367">
        <f>+C24*$H$3</f>
        <v>87065.600000000006</v>
      </c>
      <c r="C24" s="208">
        <f>+NW!$F$41</f>
        <v>57280</v>
      </c>
      <c r="D24" s="389">
        <f>+NW!B41</f>
        <v>37166</v>
      </c>
      <c r="E24" s="32" t="s">
        <v>85</v>
      </c>
      <c r="F24" s="32" t="s">
        <v>116</v>
      </c>
      <c r="G24" s="37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1" t="s">
        <v>6</v>
      </c>
      <c r="B25" s="367">
        <f>+C25*$H$3</f>
        <v>86354.240000000005</v>
      </c>
      <c r="C25" s="283">
        <f>+Amoco!D40</f>
        <v>56812</v>
      </c>
      <c r="D25" s="390">
        <f>+Amoco!A40</f>
        <v>37166</v>
      </c>
      <c r="E25" s="32" t="s">
        <v>85</v>
      </c>
      <c r="F25" s="32" t="s">
        <v>116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1" t="s">
        <v>7</v>
      </c>
      <c r="B26" s="367">
        <f>+C26*$H$4</f>
        <v>85713.600000000006</v>
      </c>
      <c r="C26" s="208">
        <f>+Oasis!D40</f>
        <v>53571</v>
      </c>
      <c r="D26" s="390">
        <f>+Oasis!B40</f>
        <v>37166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366" t="s">
        <v>80</v>
      </c>
      <c r="B27" s="367">
        <f>+Agave!$D$24</f>
        <v>74689.429999999993</v>
      </c>
      <c r="C27" s="208">
        <f>+B27/$H$4</f>
        <v>46680.893749999996</v>
      </c>
      <c r="D27" s="389">
        <f>+Agave!A24</f>
        <v>37166</v>
      </c>
      <c r="E27" s="206" t="s">
        <v>86</v>
      </c>
      <c r="F27" s="206" t="s">
        <v>103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1" t="s">
        <v>104</v>
      </c>
      <c r="B28" s="367">
        <f>+EOG!J41</f>
        <v>58914.8</v>
      </c>
      <c r="C28" s="283">
        <f>+B28/$H$4</f>
        <v>36821.75</v>
      </c>
      <c r="D28" s="389">
        <f>+EOG!A41</f>
        <v>37165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366" t="s">
        <v>130</v>
      </c>
      <c r="B29" s="367">
        <f>+Calpine!D41</f>
        <v>52477.599999999999</v>
      </c>
      <c r="C29" s="208">
        <f>+B29/$H$4</f>
        <v>32798.5</v>
      </c>
      <c r="D29" s="389">
        <f>+Calpine!A41</f>
        <v>37166</v>
      </c>
      <c r="E29" s="206" t="s">
        <v>86</v>
      </c>
      <c r="F29" s="206" t="s">
        <v>100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66" t="s">
        <v>72</v>
      </c>
      <c r="B30" s="368">
        <f>+transcol!$D$43</f>
        <v>46753.4</v>
      </c>
      <c r="C30" s="369">
        <f>+B30/$H$4</f>
        <v>29220.875</v>
      </c>
      <c r="D30" s="389">
        <f>+transcol!A43</f>
        <v>37166</v>
      </c>
      <c r="E30" s="206" t="s">
        <v>86</v>
      </c>
      <c r="F30" s="206" t="s">
        <v>116</v>
      </c>
      <c r="G30" s="30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366" t="s">
        <v>96</v>
      </c>
      <c r="B31" s="367">
        <f>+burlington!D42</f>
        <v>17672.84</v>
      </c>
      <c r="C31" s="283">
        <f>+B31/$H$3</f>
        <v>11626.868421052632</v>
      </c>
      <c r="D31" s="389">
        <f>+burlington!A42</f>
        <v>37166</v>
      </c>
      <c r="E31" s="206" t="s">
        <v>86</v>
      </c>
      <c r="F31" s="32" t="s">
        <v>114</v>
      </c>
      <c r="G31" s="32" t="s">
        <v>147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2.9" customHeight="1" x14ac:dyDescent="0.25">
      <c r="A32" s="366" t="s">
        <v>110</v>
      </c>
      <c r="B32" s="367">
        <f>+Continental!F43</f>
        <v>15926.2</v>
      </c>
      <c r="C32" s="208">
        <f>+B32/$H$4</f>
        <v>9953.875</v>
      </c>
      <c r="D32" s="389">
        <f>+Continental!A43</f>
        <v>37166</v>
      </c>
      <c r="E32" s="206" t="s">
        <v>86</v>
      </c>
      <c r="F32" s="206" t="s">
        <v>116</v>
      </c>
      <c r="G32" s="206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302" customFormat="1" ht="12.9" customHeight="1" x14ac:dyDescent="0.25">
      <c r="A33" s="251" t="s">
        <v>34</v>
      </c>
      <c r="B33" s="367">
        <f>+'El Paso'!C39*summary!H4+'El Paso'!E39*summary!H3</f>
        <v>8584.64</v>
      </c>
      <c r="C33" s="283">
        <f>+'El Paso'!H39</f>
        <v>2390</v>
      </c>
      <c r="D33" s="390">
        <f>+'El Paso'!A39</f>
        <v>37166</v>
      </c>
      <c r="E33" s="32" t="s">
        <v>85</v>
      </c>
      <c r="F33" s="32" t="s">
        <v>101</v>
      </c>
      <c r="G33" s="32" t="s">
        <v>120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ht="13.5" customHeight="1" x14ac:dyDescent="0.25">
      <c r="A34" s="251" t="s">
        <v>134</v>
      </c>
      <c r="B34" s="370">
        <f>+SidR!D41</f>
        <v>7260.44</v>
      </c>
      <c r="C34" s="71">
        <f>+B34/$H$4</f>
        <v>4537.7749999999996</v>
      </c>
      <c r="D34" s="390">
        <f>+SidR!A41</f>
        <v>37166</v>
      </c>
      <c r="E34" s="32" t="s">
        <v>86</v>
      </c>
      <c r="F34" s="32" t="s">
        <v>103</v>
      </c>
      <c r="G34" s="32" t="s">
        <v>160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97</v>
      </c>
      <c r="B35" s="47">
        <f>SUM(B8:B34)</f>
        <v>5516529.4100000001</v>
      </c>
      <c r="C35" s="69">
        <f>SUM(C8:C34)</f>
        <v>3471184.3246710519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7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51" t="s">
        <v>90</v>
      </c>
      <c r="B37" s="352" t="s">
        <v>17</v>
      </c>
      <c r="C37" s="353" t="s">
        <v>0</v>
      </c>
      <c r="D37" s="361" t="s">
        <v>150</v>
      </c>
      <c r="E37" s="351" t="s">
        <v>91</v>
      </c>
      <c r="F37" s="354" t="s">
        <v>102</v>
      </c>
      <c r="G37" s="351" t="s">
        <v>99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366" t="s">
        <v>138</v>
      </c>
      <c r="B38" s="367">
        <f>+Citizens!D18</f>
        <v>-587661.80999999994</v>
      </c>
      <c r="C38" s="208">
        <f>+B38/$H$4</f>
        <v>-367288.63124999992</v>
      </c>
      <c r="D38" s="389">
        <f>+Citizens!A18</f>
        <v>37166</v>
      </c>
      <c r="E38" s="206" t="s">
        <v>86</v>
      </c>
      <c r="F38" s="206" t="s">
        <v>100</v>
      </c>
      <c r="G38" s="37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1" t="s">
        <v>136</v>
      </c>
      <c r="B39" s="367">
        <f>+'NS Steel'!D41</f>
        <v>-455420.8</v>
      </c>
      <c r="C39" s="208">
        <f>+B39/$H$4</f>
        <v>-284638</v>
      </c>
      <c r="D39" s="390">
        <f>+'NS Steel'!A41</f>
        <v>37166</v>
      </c>
      <c r="E39" s="32" t="s">
        <v>86</v>
      </c>
      <c r="F39" s="32" t="s">
        <v>101</v>
      </c>
      <c r="G39" s="37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1" t="s">
        <v>132</v>
      </c>
      <c r="B40" s="367">
        <f>+EPFS!D41</f>
        <v>-65320.399999999994</v>
      </c>
      <c r="C40" s="208">
        <f>+B40/$H$5</f>
        <v>-39829.512195121948</v>
      </c>
      <c r="D40" s="389">
        <f>+EPFS!A41</f>
        <v>37166</v>
      </c>
      <c r="E40" s="32" t="s">
        <v>86</v>
      </c>
      <c r="F40" s="32" t="s">
        <v>103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5">
      <c r="A41" s="251" t="s">
        <v>145</v>
      </c>
      <c r="B41" s="368">
        <f>+C41*$H$4</f>
        <v>-30270.400000000001</v>
      </c>
      <c r="C41" s="369">
        <f>+PEPL!D41</f>
        <v>-18919</v>
      </c>
      <c r="D41" s="390">
        <f>+PEPL!A41</f>
        <v>37166</v>
      </c>
      <c r="E41" s="32" t="s">
        <v>85</v>
      </c>
      <c r="F41" s="32" t="s">
        <v>101</v>
      </c>
      <c r="G41" s="32" t="s">
        <v>144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1" t="s">
        <v>142</v>
      </c>
      <c r="B42" s="370">
        <f>+'Citizens-Griffith'!D41</f>
        <v>-5376.3999999999978</v>
      </c>
      <c r="C42" s="71">
        <f>+B42/$H$4</f>
        <v>-3360.2499999999986</v>
      </c>
      <c r="D42" s="389">
        <f>+'Citizens-Griffith'!A41</f>
        <v>37166</v>
      </c>
      <c r="E42" s="32" t="s">
        <v>86</v>
      </c>
      <c r="F42" s="32" t="s">
        <v>100</v>
      </c>
      <c r="G42" s="32"/>
      <c r="H42" s="206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98</v>
      </c>
      <c r="B43" s="367">
        <f>SUM(B38:B42)</f>
        <v>-1144049.8099999996</v>
      </c>
      <c r="C43" s="208">
        <f>SUM(C38:C42)</f>
        <v>-714035.39344512182</v>
      </c>
      <c r="D43" s="3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0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92</v>
      </c>
      <c r="B45" s="375">
        <f>+B43+B35</f>
        <v>4372479.6000000006</v>
      </c>
      <c r="C45" s="376">
        <f>+C43+C35</f>
        <v>2757148.9312259303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93</v>
      </c>
      <c r="B47" s="47"/>
      <c r="C47" s="303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77"/>
      <c r="C60" s="378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7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3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3"/>
      <c r="D66" s="380"/>
      <c r="E66" s="38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3"/>
      <c r="D67" s="38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3"/>
      <c r="D68" s="38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3"/>
      <c r="D69" s="38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3"/>
      <c r="D70" s="38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8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85"/>
      <c r="C72" s="69"/>
      <c r="D72" s="379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86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86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85"/>
      <c r="C75" s="14"/>
      <c r="D75" s="379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85"/>
      <c r="C76" s="69"/>
      <c r="D76" s="379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85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77"/>
      <c r="C78" s="387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2" workbookViewId="3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/>
      <c r="C6" s="80"/>
      <c r="D6" s="80">
        <f t="shared" ref="D6:D14" si="0">+C6-B6</f>
        <v>0</v>
      </c>
    </row>
    <row r="7" spans="1:8" x14ac:dyDescent="0.2">
      <c r="A7" s="32">
        <v>3531</v>
      </c>
      <c r="B7" s="321">
        <f>-21006-20998</f>
        <v>-42004</v>
      </c>
      <c r="C7" s="80">
        <v>-24256</v>
      </c>
      <c r="D7" s="80">
        <f t="shared" si="0"/>
        <v>17748</v>
      </c>
    </row>
    <row r="8" spans="1:8" x14ac:dyDescent="0.2">
      <c r="A8" s="32">
        <v>60667</v>
      </c>
      <c r="B8" s="321">
        <f>-8230-86408</f>
        <v>-94638</v>
      </c>
      <c r="C8" s="80"/>
      <c r="D8" s="80">
        <f t="shared" si="0"/>
        <v>94638</v>
      </c>
      <c r="H8" s="252"/>
    </row>
    <row r="9" spans="1:8" x14ac:dyDescent="0.2">
      <c r="A9" s="32">
        <v>60749</v>
      </c>
      <c r="B9" s="321">
        <f>96350+49276</f>
        <v>145626</v>
      </c>
      <c r="C9" s="80">
        <v>48980</v>
      </c>
      <c r="D9" s="80">
        <f t="shared" si="0"/>
        <v>-96646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v>-5569</v>
      </c>
      <c r="C11" s="80"/>
      <c r="D11" s="80">
        <f t="shared" si="0"/>
        <v>5569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21309</v>
      </c>
    </row>
    <row r="19" spans="1:5" x14ac:dyDescent="0.2">
      <c r="A19" s="32" t="s">
        <v>82</v>
      </c>
      <c r="B19" s="69"/>
      <c r="C19" s="69"/>
      <c r="D19" s="73">
        <f>+summary!H4</f>
        <v>1.6</v>
      </c>
    </row>
    <row r="20" spans="1:5" x14ac:dyDescent="0.2">
      <c r="B20" s="69"/>
      <c r="C20" s="69"/>
      <c r="D20" s="75">
        <f>+D19*D18</f>
        <v>34094.400000000001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467">
        <v>392097</v>
      </c>
      <c r="E22" s="252"/>
    </row>
    <row r="23" spans="1:5" x14ac:dyDescent="0.2">
      <c r="B23" s="69"/>
      <c r="C23" s="80"/>
      <c r="D23" s="296"/>
      <c r="E23" s="252"/>
    </row>
    <row r="24" spans="1:5" ht="10.8" thickBot="1" x14ac:dyDescent="0.25">
      <c r="A24" s="49">
        <v>37166</v>
      </c>
      <c r="B24" s="69"/>
      <c r="C24" s="69"/>
      <c r="D24" s="347">
        <f>+D22+D20</f>
        <v>426191.4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486">
        <v>-34047</v>
      </c>
    </row>
    <row r="33" spans="1:4" x14ac:dyDescent="0.2">
      <c r="A33" s="49">
        <f>+A24</f>
        <v>37166</v>
      </c>
      <c r="D33" s="371">
        <f>+D18</f>
        <v>21309</v>
      </c>
    </row>
    <row r="34" spans="1:4" x14ac:dyDescent="0.2">
      <c r="D34" s="14">
        <f>+D33+D32</f>
        <v>-12738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3" workbookViewId="3">
      <selection activeCell="B12" sqref="B12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f>-580-329</f>
        <v>-909</v>
      </c>
      <c r="C5" s="90">
        <v>-4180</v>
      </c>
      <c r="D5" s="90">
        <f t="shared" ref="D5:D13" si="0">+C5-B5</f>
        <v>-3271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f>-96252-96757</f>
        <v>-193009</v>
      </c>
      <c r="C7" s="90">
        <v>-161110</v>
      </c>
      <c r="D7" s="90">
        <f t="shared" si="0"/>
        <v>31899</v>
      </c>
      <c r="E7" s="283"/>
      <c r="F7" s="70"/>
    </row>
    <row r="8" spans="1:13" x14ac:dyDescent="0.25">
      <c r="A8" s="87">
        <v>58710</v>
      </c>
      <c r="B8" s="90">
        <v>-1708</v>
      </c>
      <c r="C8" s="90">
        <v>-488</v>
      </c>
      <c r="D8" s="90">
        <f t="shared" si="0"/>
        <v>1220</v>
      </c>
      <c r="E8" s="283"/>
      <c r="F8" s="70"/>
    </row>
    <row r="9" spans="1:13" x14ac:dyDescent="0.25">
      <c r="A9" s="87">
        <v>60921</v>
      </c>
      <c r="B9" s="90">
        <f>77731+75255</f>
        <v>152986</v>
      </c>
      <c r="C9" s="90">
        <v>122863</v>
      </c>
      <c r="D9" s="90">
        <f t="shared" si="0"/>
        <v>-30123</v>
      </c>
      <c r="E9" s="283"/>
      <c r="F9" s="70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5">
      <c r="A11" s="87">
        <v>500084</v>
      </c>
      <c r="B11" s="90">
        <f>-1755-1350</f>
        <v>-3105</v>
      </c>
      <c r="C11" s="90">
        <v>-2000</v>
      </c>
      <c r="D11" s="90">
        <f t="shared" si="0"/>
        <v>1105</v>
      </c>
      <c r="E11" s="284"/>
      <c r="F11" s="281"/>
    </row>
    <row r="12" spans="1:13" x14ac:dyDescent="0.25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5">
      <c r="A13" s="87">
        <v>500097</v>
      </c>
      <c r="B13" s="90">
        <v>-151</v>
      </c>
      <c r="C13" s="90"/>
      <c r="D13" s="90">
        <f t="shared" si="0"/>
        <v>151</v>
      </c>
      <c r="E13" s="283"/>
      <c r="F13" s="281"/>
    </row>
    <row r="14" spans="1:13" x14ac:dyDescent="0.25">
      <c r="A14" s="87"/>
      <c r="B14" s="90"/>
      <c r="C14" s="90"/>
      <c r="D14" s="90"/>
      <c r="E14" s="283"/>
      <c r="F14" s="281"/>
    </row>
    <row r="15" spans="1:13" x14ac:dyDescent="0.25">
      <c r="A15" s="87"/>
      <c r="B15" s="90"/>
      <c r="C15" s="90"/>
      <c r="D15" s="90"/>
      <c r="E15" s="283"/>
      <c r="F15" s="281"/>
    </row>
    <row r="16" spans="1:13" x14ac:dyDescent="0.25">
      <c r="A16" s="87"/>
      <c r="B16" s="88"/>
      <c r="C16" s="88"/>
      <c r="D16" s="94"/>
      <c r="E16" s="283"/>
      <c r="F16" s="281"/>
    </row>
    <row r="17" spans="1:7" x14ac:dyDescent="0.25">
      <c r="A17" s="87"/>
      <c r="B17" s="88"/>
      <c r="C17" s="88"/>
      <c r="D17" s="88">
        <f>SUM(D5:D16)</f>
        <v>981</v>
      </c>
      <c r="E17" s="283"/>
      <c r="F17" s="281"/>
    </row>
    <row r="18" spans="1:7" x14ac:dyDescent="0.25">
      <c r="A18" s="87" t="s">
        <v>82</v>
      </c>
      <c r="B18" s="88"/>
      <c r="C18" s="88"/>
      <c r="D18" s="95">
        <f>+summary!H4</f>
        <v>1.6</v>
      </c>
      <c r="E18" s="285"/>
      <c r="F18" s="281"/>
    </row>
    <row r="19" spans="1:7" x14ac:dyDescent="0.25">
      <c r="A19" s="87"/>
      <c r="B19" s="88"/>
      <c r="C19" s="88"/>
      <c r="D19" s="96">
        <f>+D18*D17</f>
        <v>1569.6000000000001</v>
      </c>
      <c r="E19" s="209"/>
      <c r="F19" s="282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37164</v>
      </c>
      <c r="B21" s="88"/>
      <c r="C21" s="88"/>
      <c r="D21" s="473">
        <v>238887.43</v>
      </c>
      <c r="E21" s="209"/>
      <c r="F21" s="66"/>
    </row>
    <row r="22" spans="1:7" x14ac:dyDescent="0.25">
      <c r="A22" s="87"/>
      <c r="B22" s="88"/>
      <c r="C22" s="88"/>
      <c r="D22" s="320"/>
      <c r="E22" s="209"/>
      <c r="F22" s="66"/>
    </row>
    <row r="23" spans="1:7" ht="13.8" thickBot="1" x14ac:dyDescent="0.3">
      <c r="A23" s="99">
        <v>37166</v>
      </c>
      <c r="B23" s="88"/>
      <c r="C23" s="88"/>
      <c r="D23" s="332">
        <f>+D21+D19</f>
        <v>240457.03</v>
      </c>
      <c r="E23" s="209"/>
      <c r="F23" s="66"/>
    </row>
    <row r="24" spans="1:7" ht="13.8" thickTop="1" x14ac:dyDescent="0.25">
      <c r="E24" s="286"/>
    </row>
    <row r="25" spans="1:7" x14ac:dyDescent="0.25">
      <c r="E25" s="286"/>
    </row>
    <row r="27" spans="1:7" x14ac:dyDescent="0.25">
      <c r="A27" s="32" t="s">
        <v>153</v>
      </c>
      <c r="B27" s="32"/>
      <c r="C27" s="32"/>
      <c r="D27" s="32"/>
    </row>
    <row r="28" spans="1:7" x14ac:dyDescent="0.25">
      <c r="A28" s="49">
        <f>+A21</f>
        <v>37164</v>
      </c>
      <c r="B28" s="32"/>
      <c r="C28" s="32"/>
      <c r="D28" s="468">
        <v>65463</v>
      </c>
    </row>
    <row r="29" spans="1:7" x14ac:dyDescent="0.25">
      <c r="A29" s="49">
        <f>+A23</f>
        <v>37166</v>
      </c>
      <c r="B29" s="32"/>
      <c r="C29" s="32"/>
      <c r="D29" s="371">
        <f>+D17</f>
        <v>981</v>
      </c>
    </row>
    <row r="30" spans="1:7" x14ac:dyDescent="0.25">
      <c r="A30" s="32"/>
      <c r="B30" s="32"/>
      <c r="C30" s="32"/>
      <c r="D30" s="14">
        <f>+D29+D28</f>
        <v>66444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3"/>
      <c r="E36" s="69"/>
      <c r="F36" s="70"/>
      <c r="G36" s="32"/>
    </row>
    <row r="37" spans="1:7" x14ac:dyDescent="0.25">
      <c r="B37" s="69"/>
      <c r="C37" s="69"/>
      <c r="D37" s="303"/>
      <c r="E37" s="69"/>
      <c r="F37" s="70"/>
      <c r="G37" s="32"/>
    </row>
    <row r="38" spans="1:7" x14ac:dyDescent="0.25">
      <c r="B38" s="69"/>
      <c r="C38" s="69"/>
      <c r="D38" s="303"/>
      <c r="E38" s="69"/>
      <c r="F38" s="70"/>
      <c r="G38" s="32"/>
    </row>
    <row r="39" spans="1:7" x14ac:dyDescent="0.25">
      <c r="B39" s="69"/>
      <c r="C39" s="69"/>
      <c r="D39" s="303"/>
      <c r="E39" s="69"/>
      <c r="F39" s="70"/>
      <c r="G39" s="32"/>
    </row>
    <row r="40" spans="1:7" x14ac:dyDescent="0.25">
      <c r="B40" s="69"/>
      <c r="C40" s="69"/>
      <c r="D40" s="303"/>
      <c r="E40" s="69"/>
      <c r="F40" s="70"/>
      <c r="G40" s="32"/>
    </row>
    <row r="41" spans="1:7" x14ac:dyDescent="0.25">
      <c r="B41" s="69"/>
      <c r="C41" s="69"/>
      <c r="D41" s="303"/>
      <c r="E41" s="69"/>
      <c r="F41" s="70"/>
      <c r="G41" s="32"/>
    </row>
    <row r="42" spans="1:7" x14ac:dyDescent="0.25">
      <c r="B42" s="69"/>
      <c r="C42" s="69"/>
      <c r="D42" s="303"/>
      <c r="E42" s="69"/>
      <c r="F42" s="70"/>
      <c r="G42" s="32"/>
    </row>
    <row r="43" spans="1:7" x14ac:dyDescent="0.25">
      <c r="B43" s="69"/>
      <c r="C43" s="69"/>
      <c r="D43" s="303"/>
      <c r="E43" s="69"/>
      <c r="F43" s="70"/>
      <c r="G43" s="32"/>
    </row>
    <row r="44" spans="1:7" x14ac:dyDescent="0.25">
      <c r="B44" s="69"/>
      <c r="C44" s="69"/>
      <c r="D44" s="304"/>
      <c r="E44" s="283"/>
      <c r="F44" s="281"/>
      <c r="G44" s="206"/>
    </row>
    <row r="45" spans="1:7" x14ac:dyDescent="0.25">
      <c r="B45" s="69"/>
      <c r="C45" s="69"/>
      <c r="D45" s="304"/>
      <c r="E45" s="283"/>
      <c r="F45" s="281"/>
      <c r="G45" s="206"/>
    </row>
    <row r="46" spans="1:7" x14ac:dyDescent="0.25">
      <c r="A46" s="32"/>
      <c r="B46" s="69"/>
      <c r="C46" s="69"/>
      <c r="D46" s="283"/>
      <c r="E46" s="283"/>
      <c r="F46" s="281"/>
      <c r="G46" s="206"/>
    </row>
    <row r="47" spans="1:7" x14ac:dyDescent="0.25">
      <c r="A47" s="32"/>
      <c r="B47" s="69"/>
      <c r="C47" s="69"/>
      <c r="D47" s="285"/>
      <c r="E47" s="285"/>
      <c r="F47" s="281"/>
      <c r="G47" s="206"/>
    </row>
    <row r="48" spans="1:7" x14ac:dyDescent="0.25">
      <c r="B48" s="69"/>
      <c r="C48" s="69"/>
      <c r="D48" s="283"/>
      <c r="E48" s="283"/>
      <c r="F48" s="282"/>
      <c r="G48" s="206"/>
    </row>
    <row r="49" spans="1:7" x14ac:dyDescent="0.25">
      <c r="B49" s="69"/>
      <c r="C49" s="69"/>
      <c r="D49" s="283"/>
      <c r="E49" s="283"/>
      <c r="F49" s="282"/>
      <c r="G49" s="206"/>
    </row>
    <row r="50" spans="1:7" x14ac:dyDescent="0.25">
      <c r="C50" s="300"/>
      <c r="D50" s="300"/>
      <c r="E50" s="300"/>
      <c r="F50" s="301"/>
      <c r="G50" s="302"/>
    </row>
    <row r="51" spans="1:7" x14ac:dyDescent="0.25">
      <c r="A51" s="32"/>
      <c r="C51" s="300"/>
      <c r="D51" s="300"/>
      <c r="E51" s="300"/>
      <c r="F51" s="301"/>
    </row>
    <row r="52" spans="1:7" x14ac:dyDescent="0.25">
      <c r="A52" s="32"/>
      <c r="C52" s="300"/>
      <c r="D52" s="300"/>
      <c r="E52" s="300"/>
      <c r="F52" s="301"/>
    </row>
    <row r="53" spans="1:7" x14ac:dyDescent="0.25">
      <c r="A53" s="32"/>
      <c r="C53" s="300"/>
      <c r="D53" s="300"/>
      <c r="E53" s="300"/>
      <c r="F53" s="301"/>
    </row>
    <row r="54" spans="1:7" x14ac:dyDescent="0.25">
      <c r="A54" s="32"/>
      <c r="C54" s="300"/>
      <c r="D54" s="300"/>
      <c r="E54" s="300"/>
      <c r="F54" s="301"/>
    </row>
    <row r="55" spans="1:7" x14ac:dyDescent="0.25">
      <c r="A55" s="32"/>
      <c r="C55" s="300"/>
      <c r="D55" s="300"/>
      <c r="E55" s="286"/>
      <c r="F55" s="286"/>
    </row>
    <row r="56" spans="1:7" x14ac:dyDescent="0.25">
      <c r="C56" s="300"/>
      <c r="D56" s="300"/>
      <c r="E56" s="286"/>
      <c r="F56" s="286"/>
    </row>
    <row r="57" spans="1:7" x14ac:dyDescent="0.25">
      <c r="C57" s="300"/>
      <c r="D57" s="300"/>
      <c r="E57" s="286"/>
      <c r="F57" s="286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28" sqref="E2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6" x14ac:dyDescent="0.25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6" x14ac:dyDescent="0.25">
      <c r="A4">
        <v>2</v>
      </c>
      <c r="B4" s="90">
        <v>16345</v>
      </c>
      <c r="C4" s="90">
        <v>16343</v>
      </c>
      <c r="D4" s="90">
        <v>-32009</v>
      </c>
      <c r="E4" s="90">
        <v>-31880</v>
      </c>
      <c r="F4" s="90">
        <f>+E4-D4+C4-B4</f>
        <v>127</v>
      </c>
    </row>
    <row r="5" spans="1:6" x14ac:dyDescent="0.25">
      <c r="A5">
        <v>3</v>
      </c>
      <c r="B5" s="90"/>
      <c r="C5" s="90"/>
      <c r="D5" s="90"/>
      <c r="E5" s="90"/>
      <c r="F5" s="90">
        <f>+E5-D5+C5-B5</f>
        <v>0</v>
      </c>
    </row>
    <row r="6" spans="1:6" x14ac:dyDescent="0.25">
      <c r="A6">
        <v>4</v>
      </c>
      <c r="B6" s="90"/>
      <c r="C6" s="90"/>
      <c r="D6" s="90"/>
      <c r="E6" s="90"/>
      <c r="F6" s="90">
        <f t="shared" ref="F6:F33" si="0">+E6-D6+C6-B6</f>
        <v>0</v>
      </c>
    </row>
    <row r="7" spans="1:6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90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5">
      <c r="A20">
        <v>18</v>
      </c>
      <c r="B20" s="342"/>
      <c r="C20" s="342"/>
      <c r="D20" s="14"/>
      <c r="E20" s="14"/>
      <c r="F20" s="90">
        <f t="shared" si="0"/>
        <v>0</v>
      </c>
    </row>
    <row r="21" spans="1:6" x14ac:dyDescent="0.25">
      <c r="A21">
        <v>19</v>
      </c>
      <c r="B21" s="342"/>
      <c r="C21" s="342"/>
      <c r="D21" s="14"/>
      <c r="E21" s="14"/>
      <c r="F21" s="90">
        <f t="shared" si="0"/>
        <v>0</v>
      </c>
    </row>
    <row r="22" spans="1:6" x14ac:dyDescent="0.25">
      <c r="A22">
        <v>20</v>
      </c>
      <c r="B22" s="342"/>
      <c r="C22" s="342"/>
      <c r="D22" s="14"/>
      <c r="E22" s="14"/>
      <c r="F22" s="90">
        <f t="shared" si="0"/>
        <v>0</v>
      </c>
    </row>
    <row r="23" spans="1:6" x14ac:dyDescent="0.25">
      <c r="A23">
        <v>21</v>
      </c>
      <c r="B23" s="342"/>
      <c r="C23" s="342"/>
      <c r="D23" s="14"/>
      <c r="E23" s="14"/>
      <c r="F23" s="90">
        <f t="shared" si="0"/>
        <v>0</v>
      </c>
    </row>
    <row r="24" spans="1:6" x14ac:dyDescent="0.25">
      <c r="A24">
        <v>22</v>
      </c>
      <c r="B24" s="342"/>
      <c r="C24" s="342"/>
      <c r="D24" s="14"/>
      <c r="E24" s="14"/>
      <c r="F24" s="90">
        <f t="shared" si="0"/>
        <v>0</v>
      </c>
    </row>
    <row r="25" spans="1:6" x14ac:dyDescent="0.25">
      <c r="A25">
        <v>23</v>
      </c>
      <c r="B25" s="342"/>
      <c r="C25" s="342"/>
      <c r="D25" s="14"/>
      <c r="E25" s="14"/>
      <c r="F25" s="90">
        <f t="shared" si="0"/>
        <v>0</v>
      </c>
    </row>
    <row r="26" spans="1:6" x14ac:dyDescent="0.25">
      <c r="A26">
        <v>24</v>
      </c>
      <c r="B26" s="342"/>
      <c r="C26" s="342"/>
      <c r="D26" s="14"/>
      <c r="E26" s="14"/>
      <c r="F26" s="90">
        <f t="shared" si="0"/>
        <v>0</v>
      </c>
    </row>
    <row r="27" spans="1:6" x14ac:dyDescent="0.25">
      <c r="A27">
        <v>25</v>
      </c>
      <c r="B27" s="342"/>
      <c r="C27" s="342"/>
      <c r="D27" s="14"/>
      <c r="E27" s="14"/>
      <c r="F27" s="90">
        <f t="shared" si="0"/>
        <v>0</v>
      </c>
    </row>
    <row r="28" spans="1:6" x14ac:dyDescent="0.25">
      <c r="A28">
        <v>26</v>
      </c>
      <c r="B28" s="342"/>
      <c r="C28" s="342"/>
      <c r="D28" s="14"/>
      <c r="E28" s="14"/>
      <c r="F28" s="90">
        <f t="shared" si="0"/>
        <v>0</v>
      </c>
    </row>
    <row r="29" spans="1:6" x14ac:dyDescent="0.25">
      <c r="A29">
        <v>27</v>
      </c>
      <c r="B29" s="342"/>
      <c r="C29" s="342"/>
      <c r="D29" s="14"/>
      <c r="E29" s="14"/>
      <c r="F29" s="90">
        <f t="shared" si="0"/>
        <v>0</v>
      </c>
    </row>
    <row r="30" spans="1:6" x14ac:dyDescent="0.25">
      <c r="A30">
        <v>28</v>
      </c>
      <c r="B30" s="458"/>
      <c r="C30" s="342"/>
      <c r="D30" s="14"/>
      <c r="E30" s="14"/>
      <c r="F30" s="90">
        <f t="shared" si="0"/>
        <v>0</v>
      </c>
    </row>
    <row r="31" spans="1:6" x14ac:dyDescent="0.25">
      <c r="A31">
        <v>29</v>
      </c>
      <c r="B31" s="342"/>
      <c r="C31" s="342"/>
      <c r="D31" s="14"/>
      <c r="E31" s="14"/>
      <c r="F31" s="90">
        <f t="shared" si="0"/>
        <v>0</v>
      </c>
    </row>
    <row r="32" spans="1:6" x14ac:dyDescent="0.25">
      <c r="A32">
        <v>30</v>
      </c>
      <c r="B32" s="342"/>
      <c r="C32" s="342"/>
      <c r="D32" s="14"/>
      <c r="E32" s="14"/>
      <c r="F32" s="90">
        <f t="shared" si="0"/>
        <v>0</v>
      </c>
    </row>
    <row r="33" spans="1:6" x14ac:dyDescent="0.25">
      <c r="A33">
        <v>31</v>
      </c>
      <c r="B33" s="342"/>
      <c r="C33" s="342"/>
      <c r="D33" s="14"/>
      <c r="E33" s="14"/>
      <c r="F33" s="90">
        <f t="shared" si="0"/>
        <v>0</v>
      </c>
    </row>
    <row r="34" spans="1:6" x14ac:dyDescent="0.25">
      <c r="B34" s="295">
        <f>SUM(B3:B33)</f>
        <v>31992</v>
      </c>
      <c r="C34" s="295">
        <f>SUM(C3:C33)</f>
        <v>31725</v>
      </c>
      <c r="D34" s="14">
        <f>SUM(D3:D33)</f>
        <v>-49194</v>
      </c>
      <c r="E34" s="14">
        <f>SUM(E3:E33)</f>
        <v>-46880</v>
      </c>
      <c r="F34" s="14">
        <f>SUM(F3:F33)</f>
        <v>2047</v>
      </c>
    </row>
    <row r="35" spans="1:6" x14ac:dyDescent="0.25">
      <c r="D35" s="14"/>
      <c r="E35" s="14"/>
      <c r="F35" s="14"/>
    </row>
    <row r="36" spans="1:6" x14ac:dyDescent="0.25">
      <c r="F36" s="346"/>
    </row>
    <row r="37" spans="1:6" x14ac:dyDescent="0.25">
      <c r="A37" s="261">
        <v>37164</v>
      </c>
      <c r="B37" s="14"/>
      <c r="C37" s="14"/>
      <c r="D37" s="14"/>
      <c r="E37" s="14"/>
      <c r="F37" s="465">
        <v>122493</v>
      </c>
    </row>
    <row r="38" spans="1:6" x14ac:dyDescent="0.25">
      <c r="A38" s="261">
        <v>37166</v>
      </c>
      <c r="B38" s="14"/>
      <c r="C38" s="14"/>
      <c r="D38" s="14"/>
      <c r="E38" s="14"/>
      <c r="F38" s="150">
        <f>+F37+F34</f>
        <v>124540</v>
      </c>
    </row>
    <row r="39" spans="1:6" x14ac:dyDescent="0.25">
      <c r="F39" s="302"/>
    </row>
    <row r="40" spans="1:6" x14ac:dyDescent="0.25">
      <c r="F40" s="302"/>
    </row>
    <row r="41" spans="1:6" x14ac:dyDescent="0.25">
      <c r="F41" s="302"/>
    </row>
    <row r="42" spans="1:6" x14ac:dyDescent="0.25">
      <c r="A42" s="32" t="s">
        <v>154</v>
      </c>
      <c r="B42" s="32"/>
      <c r="C42" s="32"/>
      <c r="D42" s="47"/>
      <c r="F42" s="302"/>
    </row>
    <row r="43" spans="1:6" x14ac:dyDescent="0.25">
      <c r="A43" s="49">
        <f>+A37</f>
        <v>37164</v>
      </c>
      <c r="B43" s="32"/>
      <c r="C43" s="32"/>
      <c r="D43" s="466">
        <v>323932</v>
      </c>
      <c r="F43" s="302"/>
    </row>
    <row r="44" spans="1:6" x14ac:dyDescent="0.25">
      <c r="A44" s="49">
        <f>+A38</f>
        <v>37166</v>
      </c>
      <c r="B44" s="32"/>
      <c r="C44" s="32"/>
      <c r="D44" s="400">
        <f>+F34*'by type_area'!J4</f>
        <v>3275.2000000000003</v>
      </c>
      <c r="F44" s="302"/>
    </row>
    <row r="45" spans="1:6" x14ac:dyDescent="0.25">
      <c r="A45" s="32"/>
      <c r="B45" s="32"/>
      <c r="C45" s="32"/>
      <c r="D45" s="202">
        <f>+D44+D43</f>
        <v>327207.2</v>
      </c>
      <c r="F45" s="302"/>
    </row>
    <row r="46" spans="1:6" x14ac:dyDescent="0.25">
      <c r="F46" s="302"/>
    </row>
    <row r="47" spans="1:6" x14ac:dyDescent="0.25">
      <c r="F47" s="302"/>
    </row>
    <row r="48" spans="1:6" x14ac:dyDescent="0.25">
      <c r="F48" s="3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0" workbookViewId="3">
      <selection activeCell="C52" sqref="C5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5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5">
      <c r="A6" s="10">
        <v>3</v>
      </c>
      <c r="B6" s="11"/>
      <c r="C6" s="11"/>
      <c r="D6" s="25">
        <f t="shared" si="0"/>
        <v>0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-40683</v>
      </c>
      <c r="C35" s="11">
        <f>SUM(C4:C34)</f>
        <v>-38459</v>
      </c>
      <c r="D35" s="11">
        <f>SUM(D4:D34)</f>
        <v>2224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37164</v>
      </c>
      <c r="D38" s="469">
        <v>156452</v>
      </c>
    </row>
    <row r="39" spans="1:4" x14ac:dyDescent="0.25">
      <c r="A39" s="2"/>
      <c r="D39" s="24"/>
    </row>
    <row r="40" spans="1:4" x14ac:dyDescent="0.25">
      <c r="A40" s="57">
        <v>37166</v>
      </c>
      <c r="D40" s="51">
        <f>+D38+D35</f>
        <v>158676</v>
      </c>
    </row>
    <row r="44" spans="1:4" x14ac:dyDescent="0.25">
      <c r="A44" s="32" t="s">
        <v>154</v>
      </c>
      <c r="B44" s="32"/>
      <c r="C44" s="32"/>
      <c r="D44" s="47"/>
    </row>
    <row r="45" spans="1:4" x14ac:dyDescent="0.25">
      <c r="A45" s="49">
        <f>+A38</f>
        <v>37164</v>
      </c>
      <c r="B45" s="32"/>
      <c r="C45" s="32"/>
      <c r="D45" s="491">
        <v>134898</v>
      </c>
    </row>
    <row r="46" spans="1:4" x14ac:dyDescent="0.25">
      <c r="A46" s="49">
        <f>+A40</f>
        <v>37166</v>
      </c>
      <c r="B46" s="32"/>
      <c r="C46" s="32"/>
      <c r="D46" s="400">
        <f>+D35*'by type_area'!J4</f>
        <v>3558.4</v>
      </c>
    </row>
    <row r="47" spans="1:4" x14ac:dyDescent="0.25">
      <c r="A47" s="32"/>
      <c r="B47" s="32"/>
      <c r="C47" s="32"/>
      <c r="D47" s="202">
        <f>+D46+D45</f>
        <v>138456.4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F4" sqref="F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17647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17647</v>
      </c>
      <c r="C35" s="11">
        <f t="shared" ref="C35:I35" si="1">SUM(C4:C34)</f>
        <v>18199</v>
      </c>
      <c r="D35" s="11">
        <f t="shared" si="1"/>
        <v>8769</v>
      </c>
      <c r="E35" s="11">
        <f t="shared" si="1"/>
        <v>9000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783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1252.8000000000002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37164</v>
      </c>
      <c r="C39" s="25"/>
      <c r="E39" s="25"/>
      <c r="G39" s="25"/>
      <c r="I39" s="25"/>
      <c r="J39" s="466">
        <v>57662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4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37165</v>
      </c>
      <c r="J41" s="334">
        <f>+J39+J37</f>
        <v>58914.8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37164</v>
      </c>
      <c r="B46" s="32"/>
      <c r="C46" s="32"/>
      <c r="D46" s="468">
        <v>-98440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37165</v>
      </c>
      <c r="B47" s="32"/>
      <c r="C47" s="32"/>
      <c r="D47" s="371">
        <f>+J35</f>
        <v>783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-97657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51" sqref="B5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-13751</v>
      </c>
      <c r="H6" s="14">
        <v>-15946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8">
        <v>-6539</v>
      </c>
      <c r="H7" s="14">
        <v>-22233</v>
      </c>
      <c r="I7" s="14">
        <v>69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8">
        <v>-17881</v>
      </c>
      <c r="H8" s="14">
        <v>-14137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H9" s="14">
        <v>-30024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H10" s="14">
        <v>-6181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>
        <v>-380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H12" s="14">
        <v>-22790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H15" s="14">
        <v>-97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>
        <v>-78</v>
      </c>
      <c r="H16" s="14">
        <v>-8984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>
        <v>-7076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>
        <v>-3692</v>
      </c>
      <c r="H18" s="14">
        <v>-18024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>
        <v>-13222</v>
      </c>
      <c r="H19" s="14">
        <v>-4227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H20" s="14">
        <v>-43</v>
      </c>
      <c r="I20" s="14">
        <v>6745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I21" s="14">
        <v>3603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H22" s="14">
        <v>-511</v>
      </c>
      <c r="I22" s="14">
        <v>458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>
        <v>-22203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>
        <v>-844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H31" s="14">
        <v>-16792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H32" s="14">
        <v>-51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I33" s="14">
        <v>23096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I34" s="14">
        <v>3702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1">SUM(B6:B36)</f>
        <v>0</v>
      </c>
      <c r="C37" s="24">
        <f t="shared" si="1"/>
        <v>0</v>
      </c>
      <c r="D37" s="24">
        <f t="shared" si="1"/>
        <v>0</v>
      </c>
      <c r="E37" s="24">
        <f t="shared" si="1"/>
        <v>0</v>
      </c>
      <c r="F37" s="24">
        <f t="shared" si="1"/>
        <v>0</v>
      </c>
      <c r="G37" s="208">
        <f t="shared" si="1"/>
        <v>-85666</v>
      </c>
      <c r="H37" s="208">
        <f t="shared" si="1"/>
        <v>-160040</v>
      </c>
      <c r="I37" s="208">
        <f t="shared" si="1"/>
        <v>37673</v>
      </c>
      <c r="J37" s="16">
        <f>+I37+H37+G37</f>
        <v>-208033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1.6</v>
      </c>
      <c r="G38" s="208"/>
      <c r="I38" s="14">
        <f>+H37+G37</f>
        <v>-245706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50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8">
        <v>37164</v>
      </c>
      <c r="E40" s="14"/>
      <c r="F40" s="472">
        <v>483326.7</v>
      </c>
      <c r="G40" s="50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8">
        <v>37164</v>
      </c>
      <c r="E41" s="14"/>
      <c r="F41" s="104">
        <f>+F40+F39</f>
        <v>483326.7</v>
      </c>
      <c r="G41" s="50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8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37164</v>
      </c>
      <c r="B47" s="32"/>
      <c r="C47" s="32"/>
      <c r="D47" s="371">
        <f>+F37</f>
        <v>0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36377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E33" sqref="E3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5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37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</v>
      </c>
      <c r="F39" s="25">
        <f>SUM(F8:F38)</f>
        <v>122</v>
      </c>
    </row>
    <row r="40" spans="1:6" x14ac:dyDescent="0.25">
      <c r="A40" s="26"/>
      <c r="C40" s="14"/>
      <c r="F40" s="258">
        <f>+summary!H4</f>
        <v>1.6</v>
      </c>
    </row>
    <row r="41" spans="1:6" x14ac:dyDescent="0.25">
      <c r="F41" s="138">
        <f>+F40*F39</f>
        <v>195.20000000000002</v>
      </c>
    </row>
    <row r="42" spans="1:6" x14ac:dyDescent="0.25">
      <c r="A42" s="57">
        <v>37164</v>
      </c>
      <c r="C42" s="15"/>
      <c r="F42" s="474">
        <v>15731</v>
      </c>
    </row>
    <row r="43" spans="1:6" x14ac:dyDescent="0.25">
      <c r="A43" s="57">
        <v>37166</v>
      </c>
      <c r="C43" s="48"/>
      <c r="F43" s="138">
        <f>+F42+F41</f>
        <v>15926.2</v>
      </c>
    </row>
    <row r="47" spans="1:6" x14ac:dyDescent="0.25">
      <c r="A47" s="32" t="s">
        <v>153</v>
      </c>
      <c r="B47" s="32"/>
      <c r="C47" s="32"/>
      <c r="D47" s="32"/>
    </row>
    <row r="48" spans="1:6" x14ac:dyDescent="0.25">
      <c r="A48" s="49">
        <f>+A42</f>
        <v>37164</v>
      </c>
      <c r="B48" s="32"/>
      <c r="C48" s="32"/>
      <c r="D48" s="468">
        <v>-8077</v>
      </c>
    </row>
    <row r="49" spans="1:4" x14ac:dyDescent="0.25">
      <c r="A49" s="49">
        <f>+A43</f>
        <v>37166</v>
      </c>
      <c r="B49" s="32"/>
      <c r="C49" s="32"/>
      <c r="D49" s="371">
        <f>+F39</f>
        <v>122</v>
      </c>
    </row>
    <row r="50" spans="1:4" x14ac:dyDescent="0.25">
      <c r="A50" s="32"/>
      <c r="B50" s="32"/>
      <c r="C50" s="32"/>
      <c r="D50" s="14">
        <f>+D49+D48</f>
        <v>-7955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3.2" x14ac:dyDescent="0.25"/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58">
        <f>+summary!H4</f>
        <v>1.6</v>
      </c>
    </row>
    <row r="41" spans="1:4" x14ac:dyDescent="0.25">
      <c r="D41" s="138">
        <f>+D40*D39</f>
        <v>0</v>
      </c>
    </row>
    <row r="42" spans="1:4" x14ac:dyDescent="0.25">
      <c r="A42" s="57">
        <v>37164</v>
      </c>
      <c r="C42" s="15"/>
      <c r="D42" s="490">
        <v>394424</v>
      </c>
    </row>
    <row r="43" spans="1:4" x14ac:dyDescent="0.25">
      <c r="A43" s="57">
        <v>37166</v>
      </c>
      <c r="C43" s="48"/>
      <c r="D43" s="138">
        <f>+D42+D41</f>
        <v>394424</v>
      </c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+A42</f>
        <v>37164</v>
      </c>
      <c r="B47" s="32"/>
      <c r="C47" s="32"/>
      <c r="D47" s="486">
        <v>21580</v>
      </c>
    </row>
    <row r="48" spans="1:4" x14ac:dyDescent="0.25">
      <c r="A48" s="49">
        <f>+A43</f>
        <v>37166</v>
      </c>
      <c r="B48" s="32"/>
      <c r="C48" s="32"/>
      <c r="D48" s="371">
        <f>+D39</f>
        <v>0</v>
      </c>
    </row>
    <row r="49" spans="1:4" x14ac:dyDescent="0.25">
      <c r="A49" s="32"/>
      <c r="B49" s="32"/>
      <c r="C49" s="32"/>
      <c r="D49" s="14">
        <f>+D48+D47</f>
        <v>21580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C42" sqref="C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133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5">
      <c r="A6" s="10">
        <v>1</v>
      </c>
      <c r="B6" s="11">
        <v>-79111</v>
      </c>
      <c r="C6" s="11">
        <v>-82685</v>
      </c>
      <c r="D6" s="25">
        <f>+C6-B6</f>
        <v>-3574</v>
      </c>
      <c r="G6" s="118"/>
      <c r="H6" s="34"/>
      <c r="I6" s="34"/>
      <c r="J6" s="189"/>
      <c r="K6" s="442" t="s">
        <v>58</v>
      </c>
      <c r="L6" s="189"/>
      <c r="M6" s="2"/>
      <c r="N6" s="34"/>
    </row>
    <row r="7" spans="1:14" x14ac:dyDescent="0.25">
      <c r="A7" s="10">
        <v>2</v>
      </c>
      <c r="B7" s="11">
        <v>-79384</v>
      </c>
      <c r="C7" s="11">
        <v>-84439</v>
      </c>
      <c r="D7" s="25">
        <f t="shared" ref="D7:D36" si="0">+C7-B7</f>
        <v>-5055</v>
      </c>
      <c r="G7" s="118" t="s">
        <v>40</v>
      </c>
      <c r="H7" s="443" t="s">
        <v>20</v>
      </c>
      <c r="I7" s="443" t="s">
        <v>21</v>
      </c>
      <c r="J7" s="444" t="s">
        <v>50</v>
      </c>
      <c r="K7" s="442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2">
        <v>5.62</v>
      </c>
      <c r="L8" s="44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2">
        <v>4.9800000000000004</v>
      </c>
      <c r="L9" s="44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2">
        <v>4.87</v>
      </c>
      <c r="L10" s="44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2">
        <v>3.82</v>
      </c>
      <c r="L11" s="44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2">
        <v>3.2</v>
      </c>
      <c r="L12" s="44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2">
        <v>2.77</v>
      </c>
      <c r="L13" s="44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2">
        <v>2.77</v>
      </c>
      <c r="L14" s="44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504"/>
      <c r="H15" s="119"/>
      <c r="I15" s="119"/>
      <c r="J15" s="119"/>
      <c r="K15" s="442"/>
      <c r="L15" s="447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505"/>
      <c r="H16" s="34"/>
      <c r="I16" s="34"/>
      <c r="J16" s="189"/>
      <c r="K16" s="442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505"/>
      <c r="H17" s="34"/>
      <c r="I17" s="34"/>
      <c r="J17" s="319">
        <f>SUM(J8:J16)</f>
        <v>130492</v>
      </c>
      <c r="K17" s="44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42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195</v>
      </c>
      <c r="H19" s="119">
        <f>+B37</f>
        <v>-158495</v>
      </c>
      <c r="I19" s="119">
        <f>+C37</f>
        <v>-167124</v>
      </c>
      <c r="J19" s="119">
        <f>+I19-H19</f>
        <v>-8629</v>
      </c>
      <c r="K19" s="442">
        <f>+D38</f>
        <v>1.6</v>
      </c>
      <c r="L19" s="447">
        <f>+K19*J19</f>
        <v>-13806.400000000001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42"/>
      <c r="L20" s="447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38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196</v>
      </c>
      <c r="H24" s="24"/>
      <c r="I24" s="24"/>
      <c r="J24" s="24">
        <f>+J19+J17</f>
        <v>121863</v>
      </c>
      <c r="K24" s="438"/>
      <c r="L24" s="110">
        <f>+L19+L17</f>
        <v>67878.699999999837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38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197</v>
      </c>
      <c r="H26" s="24"/>
      <c r="I26" s="24"/>
      <c r="J26" s="110"/>
      <c r="K26" s="438"/>
      <c r="L26" s="24">
        <f>+L24/K19</f>
        <v>42424.187499999898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3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3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-158495</v>
      </c>
      <c r="C37" s="11">
        <f>SUM(C6:C36)</f>
        <v>-167124</v>
      </c>
      <c r="D37" s="25">
        <f>SUM(D6:D36)</f>
        <v>-8629</v>
      </c>
    </row>
    <row r="38" spans="1:4" x14ac:dyDescent="0.25">
      <c r="A38" s="26"/>
      <c r="C38" s="14"/>
      <c r="D38" s="341">
        <f>+summary!H4</f>
        <v>1.6</v>
      </c>
    </row>
    <row r="39" spans="1:4" x14ac:dyDescent="0.25">
      <c r="D39" s="138">
        <f>+D38*D37</f>
        <v>-13806.400000000001</v>
      </c>
    </row>
    <row r="40" spans="1:4" x14ac:dyDescent="0.25">
      <c r="A40" s="57">
        <v>37164</v>
      </c>
      <c r="C40" s="15"/>
      <c r="D40" s="487">
        <v>66284</v>
      </c>
    </row>
    <row r="41" spans="1:4" x14ac:dyDescent="0.25">
      <c r="A41" s="57">
        <v>37166</v>
      </c>
      <c r="C41" s="48"/>
      <c r="D41" s="138">
        <f>+D40+D39</f>
        <v>52477.599999999999</v>
      </c>
    </row>
    <row r="44" spans="1:4" x14ac:dyDescent="0.25">
      <c r="A44" s="32" t="s">
        <v>153</v>
      </c>
      <c r="B44" s="32"/>
      <c r="C44" s="32"/>
      <c r="D44" s="32"/>
    </row>
    <row r="45" spans="1:4" x14ac:dyDescent="0.25">
      <c r="A45" s="49">
        <f>+A40</f>
        <v>37164</v>
      </c>
      <c r="B45" s="32"/>
      <c r="C45" s="32"/>
      <c r="D45" s="488">
        <v>122300</v>
      </c>
    </row>
    <row r="46" spans="1:4" x14ac:dyDescent="0.25">
      <c r="A46" s="49">
        <f>+A41</f>
        <v>37166</v>
      </c>
      <c r="B46" s="32"/>
      <c r="C46" s="32"/>
      <c r="D46" s="371">
        <f>+D37</f>
        <v>-8629</v>
      </c>
    </row>
    <row r="47" spans="1:4" x14ac:dyDescent="0.25">
      <c r="A47" s="32"/>
      <c r="B47" s="32"/>
      <c r="C47" s="32"/>
      <c r="D47" s="14">
        <f>+D46+D45</f>
        <v>113671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1" sqref="C31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4" x14ac:dyDescent="0.25">
      <c r="A7" s="10">
        <v>2</v>
      </c>
      <c r="B7" s="11">
        <v>36857</v>
      </c>
      <c r="C7" s="11">
        <v>33994</v>
      </c>
      <c r="D7" s="25">
        <f t="shared" ref="D7:D36" si="0">+C7-B7</f>
        <v>-2863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29"/>
      <c r="C13" s="11"/>
      <c r="D13" s="25">
        <f t="shared" si="0"/>
        <v>0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74424</v>
      </c>
      <c r="C37" s="11">
        <f>SUM(C6:C36)</f>
        <v>60989</v>
      </c>
      <c r="D37" s="25">
        <f>SUM(D6:D36)</f>
        <v>-13435</v>
      </c>
    </row>
    <row r="38" spans="1:4" x14ac:dyDescent="0.25">
      <c r="A38" s="26"/>
      <c r="C38" s="14"/>
      <c r="D38" s="341">
        <f>+summary!H5</f>
        <v>1.64</v>
      </c>
    </row>
    <row r="39" spans="1:4" x14ac:dyDescent="0.25">
      <c r="D39" s="138">
        <f>+D38*D37</f>
        <v>-22033.399999999998</v>
      </c>
    </row>
    <row r="40" spans="1:4" x14ac:dyDescent="0.25">
      <c r="A40" s="57">
        <v>37164</v>
      </c>
      <c r="C40" s="15"/>
      <c r="D40" s="487">
        <v>-43287</v>
      </c>
    </row>
    <row r="41" spans="1:4" x14ac:dyDescent="0.25">
      <c r="A41" s="57">
        <v>37166</v>
      </c>
      <c r="C41" s="48"/>
      <c r="D41" s="138">
        <f>+D40+D39</f>
        <v>-65320.399999999994</v>
      </c>
    </row>
    <row r="44" spans="1:4" x14ac:dyDescent="0.25">
      <c r="A44" s="32" t="s">
        <v>153</v>
      </c>
      <c r="B44" s="32"/>
      <c r="C44" s="32"/>
      <c r="D44" s="32"/>
    </row>
    <row r="45" spans="1:4" x14ac:dyDescent="0.25">
      <c r="A45" s="49">
        <f>+A40</f>
        <v>37164</v>
      </c>
      <c r="B45" s="32"/>
      <c r="C45" s="32"/>
      <c r="D45" s="488">
        <v>-5073</v>
      </c>
    </row>
    <row r="46" spans="1:4" x14ac:dyDescent="0.25">
      <c r="A46" s="49">
        <f>+A41</f>
        <v>37166</v>
      </c>
      <c r="B46" s="32"/>
      <c r="C46" s="32"/>
      <c r="D46" s="371">
        <f>+D37</f>
        <v>-13435</v>
      </c>
    </row>
    <row r="47" spans="1:4" x14ac:dyDescent="0.25">
      <c r="A47" s="32"/>
      <c r="B47" s="32"/>
      <c r="C47" s="32"/>
      <c r="D47" s="14">
        <f>+D46+D45</f>
        <v>-18508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E6" sqref="E6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5" bestFit="1" customWidth="1"/>
    <col min="17" max="17" width="8" style="437" bestFit="1" customWidth="1"/>
    <col min="18" max="18" width="11.44140625" style="265" bestFit="1" customWidth="1"/>
  </cols>
  <sheetData>
    <row r="1" spans="1:35" x14ac:dyDescent="0.25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2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6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M4" s="436" t="s">
        <v>40</v>
      </c>
      <c r="N4" s="4" t="s">
        <v>20</v>
      </c>
      <c r="O4" s="4" t="s">
        <v>21</v>
      </c>
      <c r="P4" s="434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72038</v>
      </c>
      <c r="G5" s="11">
        <v>73226</v>
      </c>
      <c r="H5" s="11">
        <v>110340</v>
      </c>
      <c r="I5" s="11">
        <v>110733</v>
      </c>
      <c r="J5" s="11">
        <f t="shared" si="0"/>
        <v>20855</v>
      </c>
      <c r="M5" s="436"/>
      <c r="N5" s="14"/>
      <c r="O5" s="14"/>
      <c r="P5" s="14">
        <f t="shared" ref="P5:P13" si="1">+O5-N5</f>
        <v>0</v>
      </c>
      <c r="Q5" s="382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M6" s="436">
        <v>36861</v>
      </c>
      <c r="N6" s="24">
        <v>19698194</v>
      </c>
      <c r="O6" s="24">
        <v>19662410</v>
      </c>
      <c r="P6" s="14">
        <f t="shared" si="1"/>
        <v>-35784</v>
      </c>
      <c r="Q6" s="382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36">
        <v>36892</v>
      </c>
      <c r="N7" s="24">
        <v>18949781</v>
      </c>
      <c r="O7" s="14">
        <v>18975457</v>
      </c>
      <c r="P7" s="14">
        <f t="shared" si="1"/>
        <v>25676</v>
      </c>
      <c r="Q7" s="382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36">
        <v>36923</v>
      </c>
      <c r="N8" s="24">
        <v>15193330</v>
      </c>
      <c r="O8" s="14">
        <v>15256233</v>
      </c>
      <c r="P8" s="14">
        <f t="shared" si="1"/>
        <v>62903</v>
      </c>
      <c r="Q8" s="382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36">
        <v>36951</v>
      </c>
      <c r="N9" s="24">
        <v>17049350</v>
      </c>
      <c r="O9" s="14">
        <v>17089226</v>
      </c>
      <c r="P9" s="14">
        <f t="shared" si="1"/>
        <v>39876</v>
      </c>
      <c r="Q9" s="382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36">
        <v>36982</v>
      </c>
      <c r="N10" s="24">
        <v>17652369</v>
      </c>
      <c r="O10" s="14">
        <v>17743987</v>
      </c>
      <c r="P10" s="14">
        <f t="shared" si="1"/>
        <v>91618</v>
      </c>
      <c r="Q10" s="382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36">
        <v>37012</v>
      </c>
      <c r="N11" s="24">
        <v>16124989</v>
      </c>
      <c r="O11" s="14">
        <v>16282021</v>
      </c>
      <c r="P11" s="14">
        <f t="shared" si="1"/>
        <v>157032</v>
      </c>
      <c r="Q11" s="382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36">
        <v>37043</v>
      </c>
      <c r="N12" s="24">
        <v>15928675</v>
      </c>
      <c r="O12" s="14">
        <v>15936227</v>
      </c>
      <c r="P12" s="14">
        <f t="shared" si="1"/>
        <v>7552</v>
      </c>
      <c r="Q12" s="382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36">
        <v>37073</v>
      </c>
      <c r="N13" s="24">
        <v>16669639</v>
      </c>
      <c r="O13" s="14">
        <v>16693576</v>
      </c>
      <c r="P13" s="14">
        <f t="shared" si="1"/>
        <v>23937</v>
      </c>
      <c r="Q13" s="382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36"/>
      <c r="N17" s="24"/>
      <c r="O17" s="14"/>
      <c r="P17" s="14">
        <f>+O17-N17</f>
        <v>0</v>
      </c>
      <c r="Q17" s="382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36"/>
      <c r="N18" s="24"/>
      <c r="O18" s="14"/>
      <c r="P18" s="14"/>
      <c r="Q18" s="382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36"/>
      <c r="N19" s="14"/>
      <c r="O19" s="14"/>
      <c r="P19" s="14"/>
      <c r="Q19" s="382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36"/>
      <c r="N20" s="14"/>
      <c r="O20" s="14"/>
      <c r="P20" s="15"/>
      <c r="Q20" s="382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36"/>
      <c r="N21" s="24"/>
      <c r="O21" s="24"/>
      <c r="P21" s="110"/>
      <c r="Q21" s="438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38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38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38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3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3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3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2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2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2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596637</v>
      </c>
      <c r="C35" s="11">
        <f t="shared" ref="C35:I35" si="3">SUM(C4:C34)</f>
        <v>619302</v>
      </c>
      <c r="D35" s="11">
        <f t="shared" si="3"/>
        <v>141479</v>
      </c>
      <c r="E35" s="11">
        <f t="shared" si="3"/>
        <v>131814</v>
      </c>
      <c r="F35" s="11">
        <f t="shared" si="3"/>
        <v>141048</v>
      </c>
      <c r="G35" s="11">
        <f t="shared" si="3"/>
        <v>141587</v>
      </c>
      <c r="H35" s="11">
        <f t="shared" si="3"/>
        <v>228311</v>
      </c>
      <c r="I35" s="11">
        <f t="shared" si="3"/>
        <v>231998</v>
      </c>
      <c r="J35" s="11">
        <f>SUM(J4:J34)</f>
        <v>17226</v>
      </c>
      <c r="M35" s="32"/>
      <c r="N35" s="24"/>
      <c r="O35" s="32"/>
      <c r="P35" s="15"/>
      <c r="Q35" s="382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82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82"/>
      <c r="R37" s="110"/>
      <c r="S37" s="19"/>
      <c r="T37" s="104"/>
      <c r="U37" s="16"/>
      <c r="V37" s="15"/>
      <c r="W37" s="13"/>
    </row>
    <row r="38" spans="1:23" x14ac:dyDescent="0.25">
      <c r="A38" s="56">
        <v>37164</v>
      </c>
      <c r="C38" s="25"/>
      <c r="E38" s="25"/>
      <c r="G38" s="25"/>
      <c r="I38" s="25"/>
      <c r="J38" s="459">
        <v>228357</v>
      </c>
      <c r="M38" s="32"/>
      <c r="N38" s="24"/>
      <c r="O38" s="32"/>
      <c r="P38" s="15"/>
      <c r="Q38" s="382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82"/>
      <c r="R39" s="110"/>
      <c r="S39" s="19"/>
      <c r="T39" s="104"/>
      <c r="U39" s="16"/>
      <c r="V39" s="15"/>
      <c r="W39" s="13"/>
    </row>
    <row r="40" spans="1:23" x14ac:dyDescent="0.25">
      <c r="A40" s="33">
        <v>37166</v>
      </c>
      <c r="J40" s="51">
        <f>+J38+J35</f>
        <v>245583</v>
      </c>
      <c r="M40" s="32"/>
      <c r="N40" s="24"/>
      <c r="O40" s="32"/>
      <c r="P40" s="15"/>
      <c r="Q40" s="382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82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82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82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82"/>
      <c r="R44" s="110"/>
      <c r="S44" s="19"/>
      <c r="T44" s="104"/>
      <c r="U44" s="16"/>
      <c r="V44" s="15"/>
      <c r="W44" s="13"/>
    </row>
    <row r="45" spans="1:23" x14ac:dyDescent="0.25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2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37164</v>
      </c>
      <c r="B46" s="32"/>
      <c r="C46" s="32"/>
      <c r="D46" s="460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2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37166</v>
      </c>
      <c r="B47" s="32"/>
      <c r="C47" s="32"/>
      <c r="D47" s="400">
        <f>+J35*'by type_area'!J3</f>
        <v>26183.52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2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1233054.52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2"/>
      <c r="R48" s="15"/>
      <c r="S48" s="19"/>
      <c r="T48" s="32"/>
    </row>
    <row r="49" spans="1:20" x14ac:dyDescent="0.25">
      <c r="A49" s="139"/>
      <c r="B49" s="119"/>
      <c r="C49" s="140"/>
      <c r="D49" s="40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2"/>
      <c r="R49" s="15"/>
      <c r="S49" s="32"/>
      <c r="T49" s="32"/>
    </row>
    <row r="50" spans="1:20" x14ac:dyDescent="0.25">
      <c r="A50" s="10"/>
      <c r="B50" s="11"/>
      <c r="C50" s="11"/>
      <c r="D50" s="40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2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2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2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2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2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2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2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2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2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2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2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2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2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2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2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2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2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2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8"/>
      <c r="R70" s="110"/>
      <c r="S70" s="19"/>
      <c r="T70" s="138"/>
    </row>
    <row r="71" spans="1:20" x14ac:dyDescent="0.25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8"/>
      <c r="R71" s="110"/>
      <c r="S71" s="19"/>
      <c r="T71" s="138"/>
    </row>
    <row r="72" spans="1:20" x14ac:dyDescent="0.25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8"/>
      <c r="R72" s="110"/>
      <c r="S72" s="19"/>
      <c r="T72" s="138"/>
    </row>
    <row r="73" spans="1:20" x14ac:dyDescent="0.25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3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3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3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3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3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3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3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2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2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2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2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2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2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2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2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2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2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2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2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2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2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2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2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2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2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2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4"/>
      <c r="Q255" s="143"/>
      <c r="R255" s="43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5"/>
      <c r="Q256" s="440"/>
      <c r="R256" s="43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9"/>
      <c r="S295" s="1"/>
    </row>
    <row r="296" spans="9:21" x14ac:dyDescent="0.25">
      <c r="K296" s="2"/>
      <c r="M296" s="30"/>
      <c r="N296" s="4"/>
      <c r="O296" s="4"/>
      <c r="P296" s="434"/>
      <c r="Q296" s="143"/>
      <c r="R296" s="43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35"/>
      <c r="Q297" s="440"/>
      <c r="R297" s="43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3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3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3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3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3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3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3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3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3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3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3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3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3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3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3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3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3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3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3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3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3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3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3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3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3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3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3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3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3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3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3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3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9"/>
      <c r="S337" s="1"/>
    </row>
    <row r="338" spans="11:21" x14ac:dyDescent="0.25">
      <c r="K338" s="2"/>
      <c r="M338" s="30"/>
      <c r="N338" s="4"/>
      <c r="O338" s="4"/>
      <c r="P338" s="434"/>
      <c r="Q338" s="143"/>
      <c r="R338" s="43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35"/>
      <c r="Q339" s="440"/>
      <c r="R339" s="43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3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3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3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3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3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3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3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3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3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3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3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3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3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3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3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3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3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3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3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3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3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3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3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3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3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3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3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3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3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3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3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3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9"/>
      <c r="S379" s="1"/>
    </row>
    <row r="380" spans="11:21" x14ac:dyDescent="0.25">
      <c r="K380" s="2"/>
      <c r="M380" s="30"/>
      <c r="N380" s="4"/>
      <c r="O380" s="4"/>
      <c r="P380" s="434"/>
      <c r="Q380" s="143"/>
      <c r="R380" s="43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35"/>
      <c r="Q381" s="440"/>
      <c r="R381" s="43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3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3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3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3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3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3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3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3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3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3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3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3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3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3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3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3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3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3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3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3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3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3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3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3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3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3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3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3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3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3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3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3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9"/>
      <c r="S423" s="1"/>
    </row>
    <row r="424" spans="11:21" x14ac:dyDescent="0.25">
      <c r="K424" s="2"/>
      <c r="M424" s="30"/>
      <c r="N424" s="4"/>
      <c r="O424" s="4"/>
      <c r="P424" s="434"/>
      <c r="Q424" s="143"/>
      <c r="R424" s="43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35"/>
      <c r="Q425" s="440"/>
      <c r="R425" s="43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3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3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3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3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3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3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3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3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3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3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3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3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3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3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3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3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3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3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3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3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3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3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3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3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3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3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3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3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3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3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3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3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34"/>
      <c r="Q466" s="143"/>
      <c r="R466" s="43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35"/>
      <c r="Q467" s="440"/>
      <c r="R467" s="43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3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3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3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3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3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3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3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3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3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3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3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3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3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3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3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3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3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3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3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3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3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3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3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3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3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3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3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3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3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3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3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3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1" sqref="C31"/>
    </sheetView>
  </sheetViews>
  <sheetFormatPr defaultRowHeight="13.2" x14ac:dyDescent="0.25"/>
  <sheetData>
    <row r="3" spans="1:4" ht="13.8" x14ac:dyDescent="0.25">
      <c r="A3" s="134"/>
      <c r="B3" s="34" t="s">
        <v>134</v>
      </c>
    </row>
    <row r="4" spans="1:4" x14ac:dyDescent="0.25">
      <c r="A4" s="3"/>
      <c r="B4" s="59" t="s">
        <v>135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5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119902</v>
      </c>
      <c r="C37" s="11">
        <f>SUM(C6:C36)</f>
        <v>119948</v>
      </c>
      <c r="D37" s="25">
        <f>SUM(D6:D36)</f>
        <v>46</v>
      </c>
    </row>
    <row r="38" spans="1:4" x14ac:dyDescent="0.25">
      <c r="A38" s="26"/>
      <c r="C38" s="14"/>
      <c r="D38" s="341">
        <f>+summary!H5</f>
        <v>1.64</v>
      </c>
    </row>
    <row r="39" spans="1:4" x14ac:dyDescent="0.25">
      <c r="D39" s="138">
        <f>+D38*D37</f>
        <v>75.44</v>
      </c>
    </row>
    <row r="40" spans="1:4" x14ac:dyDescent="0.25">
      <c r="A40" s="57">
        <v>37164</v>
      </c>
      <c r="C40" s="15"/>
      <c r="D40" s="482">
        <v>7185</v>
      </c>
    </row>
    <row r="41" spans="1:4" x14ac:dyDescent="0.25">
      <c r="A41" s="57">
        <v>37166</v>
      </c>
      <c r="C41" s="48"/>
      <c r="D41" s="138">
        <f>+D40+D39</f>
        <v>7260.44</v>
      </c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468">
        <v>1289</v>
      </c>
    </row>
    <row r="47" spans="1:4" x14ac:dyDescent="0.25">
      <c r="A47" s="49">
        <f>+A41</f>
        <v>37166</v>
      </c>
      <c r="B47" s="32"/>
      <c r="C47" s="32"/>
      <c r="D47" s="371">
        <f>+D37</f>
        <v>46</v>
      </c>
    </row>
    <row r="48" spans="1:4" x14ac:dyDescent="0.25">
      <c r="A48" s="32"/>
      <c r="B48" s="32"/>
      <c r="C48" s="32"/>
      <c r="D48" s="14">
        <f>+D47+D46</f>
        <v>1335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4" sqref="C34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136</v>
      </c>
      <c r="C3" s="87"/>
      <c r="D3" s="87"/>
      <c r="E3" s="87"/>
    </row>
    <row r="4" spans="1:13" x14ac:dyDescent="0.25">
      <c r="A4" s="3"/>
      <c r="B4" s="343" t="s">
        <v>137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/>
      <c r="C6" s="11">
        <v>-2139</v>
      </c>
      <c r="D6" s="25">
        <f>+C6-B6</f>
        <v>-2139</v>
      </c>
    </row>
    <row r="7" spans="1:13" x14ac:dyDescent="0.25">
      <c r="A7" s="10">
        <v>2</v>
      </c>
      <c r="B7" s="11"/>
      <c r="C7" s="11">
        <v>-2139</v>
      </c>
      <c r="D7" s="25">
        <f t="shared" ref="D7:D36" si="0">+C7-B7</f>
        <v>-2139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42" t="s">
        <v>183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43" t="s">
        <v>20</v>
      </c>
      <c r="J14" s="443" t="s">
        <v>21</v>
      </c>
      <c r="K14" s="444" t="s">
        <v>50</v>
      </c>
      <c r="L14" s="442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2">
        <v>8.2100000000000009</v>
      </c>
      <c r="M16" s="447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2">
        <v>5.62</v>
      </c>
      <c r="M17" s="447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2">
        <v>4.9800000000000004</v>
      </c>
      <c r="M18" s="447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2">
        <v>4.87</v>
      </c>
      <c r="M19" s="447">
        <f t="shared" si="2"/>
        <v>63012.93</v>
      </c>
      <c r="O19" s="265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2">
        <v>3.82</v>
      </c>
      <c r="M20" s="447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2">
        <v>3.2</v>
      </c>
      <c r="M21" s="447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2">
        <v>2.77</v>
      </c>
      <c r="M22" s="448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45"/>
      <c r="M23" s="446">
        <f>SUM(M16:M22)</f>
        <v>-353837.81000000006</v>
      </c>
      <c r="O23" s="265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-4278</v>
      </c>
      <c r="D37" s="25">
        <f>SUM(D6:D36)</f>
        <v>-4278</v>
      </c>
    </row>
    <row r="38" spans="1:4" x14ac:dyDescent="0.25">
      <c r="A38" s="26"/>
      <c r="C38" s="14"/>
      <c r="D38" s="341">
        <f>+summary!H4</f>
        <v>1.6</v>
      </c>
    </row>
    <row r="39" spans="1:4" x14ac:dyDescent="0.25">
      <c r="D39" s="138">
        <f>+D38*D37</f>
        <v>-6844.8</v>
      </c>
    </row>
    <row r="40" spans="1:4" x14ac:dyDescent="0.25">
      <c r="A40" s="57">
        <v>37164</v>
      </c>
      <c r="C40" s="15"/>
      <c r="D40" s="474">
        <v>-448576</v>
      </c>
    </row>
    <row r="41" spans="1:4" x14ac:dyDescent="0.25">
      <c r="A41" s="57">
        <v>37166</v>
      </c>
      <c r="C41" s="48"/>
      <c r="D41" s="138">
        <f>+D40+D39</f>
        <v>-455420.8</v>
      </c>
    </row>
    <row r="47" spans="1:4" x14ac:dyDescent="0.25">
      <c r="A47" s="32" t="s">
        <v>153</v>
      </c>
      <c r="B47" s="32"/>
      <c r="C47" s="32"/>
      <c r="D47" s="32"/>
    </row>
    <row r="48" spans="1:4" x14ac:dyDescent="0.25">
      <c r="A48" s="49">
        <f>+A40</f>
        <v>37164</v>
      </c>
      <c r="B48" s="32"/>
      <c r="C48" s="32"/>
      <c r="D48" s="468">
        <v>-92166</v>
      </c>
    </row>
    <row r="49" spans="1:4" x14ac:dyDescent="0.25">
      <c r="A49" s="49">
        <f>+A41</f>
        <v>37166</v>
      </c>
      <c r="B49" s="32"/>
      <c r="C49" s="32"/>
      <c r="D49" s="371">
        <f>+D37</f>
        <v>-4278</v>
      </c>
    </row>
    <row r="50" spans="1:4" x14ac:dyDescent="0.25">
      <c r="A50" s="32"/>
      <c r="B50" s="32"/>
      <c r="C50" s="32"/>
      <c r="D50" s="14">
        <f>+D49+D48</f>
        <v>-96444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B8" sqref="B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142</v>
      </c>
      <c r="C3" s="87"/>
      <c r="D3" s="87"/>
    </row>
    <row r="4" spans="1:4" x14ac:dyDescent="0.25">
      <c r="A4" s="3"/>
      <c r="B4" s="343" t="s">
        <v>139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-93082</v>
      </c>
      <c r="C6" s="11">
        <v>-90000</v>
      </c>
      <c r="D6" s="25">
        <f>+C6-B6</f>
        <v>3082</v>
      </c>
    </row>
    <row r="7" spans="1:4" x14ac:dyDescent="0.25">
      <c r="A7" s="10">
        <v>2</v>
      </c>
      <c r="B7" s="11">
        <v>-73789</v>
      </c>
      <c r="C7" s="11">
        <v>-56575</v>
      </c>
      <c r="D7" s="25">
        <f t="shared" ref="D7:D36" si="0">+C7-B7</f>
        <v>17214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-166871</v>
      </c>
      <c r="C37" s="11">
        <f>SUM(C6:C36)</f>
        <v>-146575</v>
      </c>
      <c r="D37" s="25">
        <f>SUM(D6:D36)</f>
        <v>20296</v>
      </c>
    </row>
    <row r="38" spans="1:4" x14ac:dyDescent="0.25">
      <c r="A38" s="26"/>
      <c r="C38" s="14"/>
      <c r="D38" s="341">
        <f>+summary!H4</f>
        <v>1.6</v>
      </c>
    </row>
    <row r="39" spans="1:4" x14ac:dyDescent="0.25">
      <c r="D39" s="138">
        <f>+D38*D37</f>
        <v>32473.600000000002</v>
      </c>
    </row>
    <row r="40" spans="1:4" x14ac:dyDescent="0.25">
      <c r="A40" s="57">
        <v>37164</v>
      </c>
      <c r="C40" s="15"/>
      <c r="D40" s="355">
        <v>-37850</v>
      </c>
    </row>
    <row r="41" spans="1:4" x14ac:dyDescent="0.25">
      <c r="A41" s="57">
        <v>37166</v>
      </c>
      <c r="C41" s="48"/>
      <c r="D41" s="138">
        <f>+D40+D39</f>
        <v>-5376.3999999999978</v>
      </c>
    </row>
    <row r="42" spans="1:4" x14ac:dyDescent="0.25">
      <c r="D42" s="24"/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212">
        <v>-13974</v>
      </c>
    </row>
    <row r="47" spans="1:4" x14ac:dyDescent="0.25">
      <c r="A47" s="49">
        <f>+A41</f>
        <v>37166</v>
      </c>
      <c r="B47" s="32"/>
      <c r="C47" s="32"/>
      <c r="D47" s="371">
        <f>+D37</f>
        <v>20296</v>
      </c>
    </row>
    <row r="48" spans="1:4" x14ac:dyDescent="0.25">
      <c r="A48" s="32"/>
      <c r="B48" s="32"/>
      <c r="C48" s="32"/>
      <c r="D48" s="14">
        <f>+D47+D46</f>
        <v>6322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C6" sqref="C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138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8">
        <v>-2193</v>
      </c>
      <c r="C5" s="90">
        <v>-252</v>
      </c>
      <c r="D5" s="90">
        <f>+C5-B5</f>
        <v>1941</v>
      </c>
      <c r="E5" s="283"/>
      <c r="F5" s="281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5">
      <c r="A8" s="87">
        <v>500134</v>
      </c>
      <c r="B8" s="92">
        <v>-13</v>
      </c>
      <c r="C8" s="90"/>
      <c r="D8" s="90">
        <f t="shared" si="0"/>
        <v>13</v>
      </c>
      <c r="E8" s="283"/>
      <c r="F8" s="281"/>
    </row>
    <row r="9" spans="1:13" x14ac:dyDescent="0.25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5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5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5">
      <c r="A12" s="87"/>
      <c r="B12" s="88"/>
      <c r="C12" s="88"/>
      <c r="D12" s="88">
        <f>SUM(D5:D11)</f>
        <v>1954</v>
      </c>
      <c r="E12" s="283"/>
      <c r="F12" s="281"/>
    </row>
    <row r="13" spans="1:13" x14ac:dyDescent="0.25">
      <c r="A13" s="87" t="s">
        <v>82</v>
      </c>
      <c r="B13" s="88"/>
      <c r="C13" s="88"/>
      <c r="D13" s="95">
        <f>+summary!H4</f>
        <v>1.6</v>
      </c>
      <c r="E13" s="285"/>
      <c r="F13" s="281"/>
    </row>
    <row r="14" spans="1:13" x14ac:dyDescent="0.25">
      <c r="A14" s="87"/>
      <c r="B14" s="88"/>
      <c r="C14" s="88"/>
      <c r="D14" s="96">
        <f>+D13*D12</f>
        <v>3126.4</v>
      </c>
      <c r="E14" s="209"/>
      <c r="F14" s="282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37164</v>
      </c>
      <c r="B16" s="88"/>
      <c r="C16" s="88"/>
      <c r="D16" s="432">
        <v>-590788.21</v>
      </c>
      <c r="E16" s="209"/>
      <c r="F16" s="66"/>
    </row>
    <row r="17" spans="1:7" x14ac:dyDescent="0.25">
      <c r="A17" s="87"/>
      <c r="B17" s="88"/>
      <c r="C17" s="88"/>
      <c r="D17" s="320"/>
      <c r="E17" s="209"/>
      <c r="F17" s="66"/>
    </row>
    <row r="18" spans="1:7" ht="13.8" thickBot="1" x14ac:dyDescent="0.3">
      <c r="A18" s="99">
        <v>37166</v>
      </c>
      <c r="B18" s="88"/>
      <c r="C18" s="88"/>
      <c r="D18" s="332">
        <f>+D16+D14</f>
        <v>-587661.80999999994</v>
      </c>
      <c r="E18" s="209"/>
      <c r="F18" s="66"/>
    </row>
    <row r="19" spans="1:7" ht="13.8" thickTop="1" x14ac:dyDescent="0.25">
      <c r="E19" s="286"/>
    </row>
    <row r="21" spans="1:7" x14ac:dyDescent="0.25">
      <c r="A21" s="32" t="s">
        <v>153</v>
      </c>
      <c r="B21" s="32"/>
      <c r="C21" s="32"/>
      <c r="D21" s="32"/>
    </row>
    <row r="22" spans="1:7" x14ac:dyDescent="0.25">
      <c r="A22" s="49">
        <f>+A16</f>
        <v>37164</v>
      </c>
      <c r="B22" s="32"/>
      <c r="C22" s="32"/>
      <c r="D22" s="212">
        <v>-63344</v>
      </c>
    </row>
    <row r="23" spans="1:7" x14ac:dyDescent="0.25">
      <c r="A23" s="49">
        <f>+A18</f>
        <v>37166</v>
      </c>
      <c r="B23" s="32"/>
      <c r="C23" s="32"/>
      <c r="D23" s="371">
        <f>+D12</f>
        <v>1954</v>
      </c>
    </row>
    <row r="24" spans="1:7" x14ac:dyDescent="0.25">
      <c r="A24" s="32"/>
      <c r="B24" s="32"/>
      <c r="C24" s="32"/>
      <c r="D24" s="14">
        <f>+D23+D22</f>
        <v>-61390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-9355</v>
      </c>
      <c r="C37" s="11">
        <f>SUM(C6:C36)</f>
        <v>-6760</v>
      </c>
      <c r="D37" s="25">
        <f>SUM(D6:D36)</f>
        <v>2595</v>
      </c>
    </row>
    <row r="38" spans="1:4" x14ac:dyDescent="0.25">
      <c r="A38" s="26"/>
      <c r="C38" s="14"/>
      <c r="D38" s="356"/>
    </row>
    <row r="39" spans="1:4" x14ac:dyDescent="0.25">
      <c r="D39" s="138"/>
    </row>
    <row r="40" spans="1:4" x14ac:dyDescent="0.25">
      <c r="A40" s="57">
        <v>37164</v>
      </c>
      <c r="C40" s="15"/>
      <c r="D40" s="459">
        <v>-21514</v>
      </c>
    </row>
    <row r="41" spans="1:4" x14ac:dyDescent="0.25">
      <c r="A41" s="57">
        <v>37166</v>
      </c>
      <c r="C41" s="48"/>
      <c r="D41" s="25">
        <f>+D40+D37</f>
        <v>-18919</v>
      </c>
    </row>
    <row r="44" spans="1:4" x14ac:dyDescent="0.25">
      <c r="A44" s="32" t="s">
        <v>154</v>
      </c>
      <c r="B44" s="32"/>
      <c r="C44" s="32"/>
      <c r="D44" s="47"/>
    </row>
    <row r="45" spans="1:4" x14ac:dyDescent="0.25">
      <c r="A45" s="49">
        <f>+A40</f>
        <v>37164</v>
      </c>
      <c r="B45" s="32"/>
      <c r="C45" s="32"/>
      <c r="D45" s="460">
        <v>-132953</v>
      </c>
    </row>
    <row r="46" spans="1:4" x14ac:dyDescent="0.25">
      <c r="A46" s="49">
        <f>+A41</f>
        <v>37166</v>
      </c>
      <c r="B46" s="32"/>
      <c r="C46" s="32"/>
      <c r="D46" s="400">
        <f>+D37*'by type_area'!J4</f>
        <v>4152</v>
      </c>
    </row>
    <row r="47" spans="1:4" x14ac:dyDescent="0.25">
      <c r="A47" s="32"/>
      <c r="B47" s="32"/>
      <c r="C47" s="32"/>
      <c r="D47" s="202">
        <f>+D46+D45</f>
        <v>-128801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2" sqref="C3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5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5">
      <c r="A9" s="10">
        <v>3</v>
      </c>
      <c r="B9" s="11"/>
      <c r="C9" s="11"/>
      <c r="D9" s="25">
        <f t="shared" ref="D9:D37" si="0">+C9-B9</f>
        <v>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310062</v>
      </c>
      <c r="C38" s="11">
        <f>SUM(C7:C37)</f>
        <v>310504</v>
      </c>
      <c r="D38" s="11">
        <f>SUM(D7:D37)</f>
        <v>442</v>
      </c>
    </row>
    <row r="39" spans="1:4" x14ac:dyDescent="0.25">
      <c r="A39" s="26"/>
      <c r="C39" s="14"/>
      <c r="D39" s="106">
        <f>+summary!H3</f>
        <v>1.52</v>
      </c>
    </row>
    <row r="40" spans="1:4" x14ac:dyDescent="0.25">
      <c r="D40" s="138">
        <f>+D39*D38</f>
        <v>671.84</v>
      </c>
    </row>
    <row r="41" spans="1:4" x14ac:dyDescent="0.25">
      <c r="A41" s="57">
        <v>37164</v>
      </c>
      <c r="C41" s="15"/>
      <c r="D41" s="363">
        <v>17001</v>
      </c>
    </row>
    <row r="42" spans="1:4" x14ac:dyDescent="0.25">
      <c r="A42" s="57">
        <v>37166</v>
      </c>
      <c r="D42" s="334">
        <f>+D41+D40</f>
        <v>17672.84</v>
      </c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37164</v>
      </c>
      <c r="B47" s="32"/>
      <c r="C47" s="32"/>
      <c r="D47" s="212">
        <v>9827</v>
      </c>
    </row>
    <row r="48" spans="1:4" x14ac:dyDescent="0.25">
      <c r="A48" s="49">
        <f>+A42</f>
        <v>37166</v>
      </c>
      <c r="B48" s="32"/>
      <c r="C48" s="32"/>
      <c r="D48" s="371">
        <f>+D38</f>
        <v>442</v>
      </c>
    </row>
    <row r="49" spans="1:4" x14ac:dyDescent="0.25">
      <c r="A49" s="32"/>
      <c r="B49" s="32"/>
      <c r="C49" s="32"/>
      <c r="D49" s="14">
        <f>+D48+D47</f>
        <v>10269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C29" sqref="C2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-51426</v>
      </c>
      <c r="C36" s="44">
        <f>SUM(C5:C35)</f>
        <v>-15050</v>
      </c>
      <c r="D36" s="43">
        <f>SUM(D5:D35)</f>
        <v>0</v>
      </c>
      <c r="E36" s="44">
        <f>SUM(E5:E35)</f>
        <v>-34585</v>
      </c>
      <c r="F36" s="11">
        <f>SUM(F5:F35)</f>
        <v>1791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-36376</v>
      </c>
      <c r="D37" s="24"/>
      <c r="E37" s="24">
        <f>+D36-E36</f>
        <v>34585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37164</v>
      </c>
      <c r="C41" s="14"/>
      <c r="D41" s="50"/>
      <c r="E41" s="50"/>
      <c r="F41" s="469">
        <v>69914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37166</v>
      </c>
      <c r="C42" s="14"/>
      <c r="D42" s="50"/>
      <c r="E42" s="50"/>
      <c r="F42" s="51">
        <f>+F41+F36</f>
        <v>71705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154</v>
      </c>
      <c r="B46" s="32"/>
      <c r="C46" s="32"/>
      <c r="D46" s="47"/>
    </row>
    <row r="47" spans="1:12" x14ac:dyDescent="0.25">
      <c r="A47" s="49">
        <f>+B41</f>
        <v>37164</v>
      </c>
      <c r="B47" s="32"/>
      <c r="C47" s="32"/>
      <c r="D47" s="470">
        <v>65784</v>
      </c>
    </row>
    <row r="48" spans="1:12" x14ac:dyDescent="0.25">
      <c r="A48" s="49">
        <f>+B42</f>
        <v>37166</v>
      </c>
      <c r="B48" s="32"/>
      <c r="C48" s="32"/>
      <c r="D48" s="400">
        <f>+F36*'by type_area'!J4</f>
        <v>2865.6000000000004</v>
      </c>
    </row>
    <row r="49" spans="1:4" x14ac:dyDescent="0.25">
      <c r="A49" s="32"/>
      <c r="B49" s="32"/>
      <c r="C49" s="32"/>
      <c r="D49" s="202">
        <f>+D48+D47</f>
        <v>68649.600000000006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29" sqref="C2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5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5">
      <c r="A6" s="10">
        <v>3</v>
      </c>
      <c r="B6" s="129"/>
      <c r="C6" s="11"/>
      <c r="D6" s="25">
        <f t="shared" si="0"/>
        <v>0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-208744</v>
      </c>
      <c r="C35" s="11">
        <f>SUM(C4:C34)</f>
        <v>-208064</v>
      </c>
      <c r="D35" s="11">
        <f>SUM(D4:D34)</f>
        <v>680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7">
        <v>37164</v>
      </c>
      <c r="D38" s="484">
        <v>73103</v>
      </c>
    </row>
    <row r="39" spans="1:30" x14ac:dyDescent="0.25">
      <c r="A39" s="12"/>
      <c r="D39" s="24"/>
    </row>
    <row r="40" spans="1:30" x14ac:dyDescent="0.25">
      <c r="A40" s="247">
        <v>37166</v>
      </c>
      <c r="D40" s="24">
        <f>+D38+D35</f>
        <v>73783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154</v>
      </c>
      <c r="B44" s="32"/>
      <c r="C44" s="32"/>
      <c r="D44" s="47"/>
      <c r="K44"/>
    </row>
    <row r="45" spans="1:30" x14ac:dyDescent="0.25">
      <c r="A45" s="49">
        <f>+A38</f>
        <v>37164</v>
      </c>
      <c r="B45" s="32"/>
      <c r="C45" s="32"/>
      <c r="D45" s="485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37166</v>
      </c>
      <c r="B46" s="32"/>
      <c r="C46" s="32"/>
      <c r="D46" s="400">
        <f>+D35*'by type_area'!J4</f>
        <v>1088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-47782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E28" sqref="E2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5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5">
      <c r="A6" s="10">
        <v>3</v>
      </c>
      <c r="B6" s="11"/>
      <c r="C6" s="11"/>
      <c r="D6" s="11"/>
      <c r="E6" s="11"/>
      <c r="F6" s="25">
        <f t="shared" si="0"/>
        <v>0</v>
      </c>
      <c r="H6" s="10"/>
      <c r="I6" s="11"/>
    </row>
    <row r="7" spans="1:11" x14ac:dyDescent="0.25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-1556875</v>
      </c>
      <c r="C35" s="11">
        <f>SUM(C4:C34)</f>
        <v>-1566790</v>
      </c>
      <c r="D35" s="11">
        <f>SUM(D4:D34)</f>
        <v>-29107</v>
      </c>
      <c r="E35" s="11">
        <f>SUM(E4:E34)</f>
        <v>-25000</v>
      </c>
      <c r="F35" s="11">
        <f>SUM(F4:F34)</f>
        <v>-5808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37164</v>
      </c>
      <c r="F38" s="465">
        <v>292527</v>
      </c>
    </row>
    <row r="39" spans="1:45" x14ac:dyDescent="0.25">
      <c r="A39" s="2"/>
      <c r="F39" s="24"/>
    </row>
    <row r="40" spans="1:45" x14ac:dyDescent="0.25">
      <c r="A40" s="57">
        <v>37166</v>
      </c>
      <c r="F40" s="51">
        <f>+F38+F35</f>
        <v>286719</v>
      </c>
    </row>
    <row r="42" spans="1:45" x14ac:dyDescent="0.25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5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5">
      <c r="A45" s="49">
        <f>+A38</f>
        <v>37164</v>
      </c>
      <c r="B45" s="32"/>
      <c r="C45" s="32"/>
      <c r="D45" s="431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5">
      <c r="A46" s="49">
        <f>+A40</f>
        <v>37166</v>
      </c>
      <c r="B46" s="32"/>
      <c r="C46" s="32"/>
      <c r="D46" s="400">
        <f>+F35*'by type_area'!J4</f>
        <v>-9292.8000000000011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5">
      <c r="A47" s="32"/>
      <c r="B47" s="32"/>
      <c r="C47" s="32"/>
      <c r="D47" s="202">
        <f>+D46+D45</f>
        <v>721648.2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5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5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5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5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5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5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5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5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5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5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5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5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5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5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5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5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5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5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5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5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5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5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5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20" sqref="E2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-122229</v>
      </c>
      <c r="C4" s="11">
        <v>-31314</v>
      </c>
      <c r="D4" s="11"/>
      <c r="E4" s="11">
        <v>-90498</v>
      </c>
      <c r="F4" s="11"/>
      <c r="G4" s="11"/>
      <c r="H4" s="11">
        <f>+G4+E4+C4-F4-D4-B4</f>
        <v>417</v>
      </c>
      <c r="I4" s="11"/>
      <c r="J4" s="102"/>
      <c r="K4" s="441"/>
      <c r="L4" s="441"/>
      <c r="M4" s="441"/>
      <c r="N4" s="441"/>
      <c r="O4" s="293"/>
      <c r="P4" s="293"/>
    </row>
    <row r="5" spans="1:17" ht="13.2" x14ac:dyDescent="0.25">
      <c r="A5" s="41">
        <v>2</v>
      </c>
      <c r="B5" s="11">
        <v>-71108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83</v>
      </c>
      <c r="I5" s="11"/>
      <c r="J5" s="102"/>
      <c r="K5" s="118"/>
      <c r="L5" s="34"/>
      <c r="M5" s="34"/>
      <c r="N5" s="189"/>
      <c r="O5" s="442" t="s">
        <v>183</v>
      </c>
      <c r="P5" s="189"/>
      <c r="Q5" s="2"/>
    </row>
    <row r="6" spans="1:17" ht="13.2" x14ac:dyDescent="0.25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40</v>
      </c>
      <c r="L6" s="443" t="s">
        <v>20</v>
      </c>
      <c r="M6" s="443" t="s">
        <v>21</v>
      </c>
      <c r="N6" s="444" t="s">
        <v>50</v>
      </c>
      <c r="O6" s="442" t="s">
        <v>16</v>
      </c>
      <c r="P6" s="189" t="s">
        <v>28</v>
      </c>
      <c r="Q6" s="2"/>
    </row>
    <row r="7" spans="1:17" ht="13.2" x14ac:dyDescent="0.25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2">
        <v>8.2100000000000009</v>
      </c>
      <c r="P9" s="447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2">
        <v>5.62</v>
      </c>
      <c r="P10" s="447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2">
        <v>4.9800000000000004</v>
      </c>
      <c r="P11" s="447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2">
        <v>4.87</v>
      </c>
      <c r="P12" s="447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2">
        <v>3.82</v>
      </c>
      <c r="P13" s="447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2">
        <v>3.2</v>
      </c>
      <c r="P14" s="447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2">
        <v>2.77</v>
      </c>
      <c r="P15" s="448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45"/>
      <c r="P16" s="446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-193337</v>
      </c>
      <c r="C35" s="44">
        <f t="shared" si="3"/>
        <v>-79578</v>
      </c>
      <c r="D35" s="11">
        <f t="shared" si="3"/>
        <v>0</v>
      </c>
      <c r="E35" s="44">
        <f t="shared" si="3"/>
        <v>-113259</v>
      </c>
      <c r="F35" s="11">
        <f t="shared" si="3"/>
        <v>0</v>
      </c>
      <c r="G35" s="11">
        <f t="shared" si="3"/>
        <v>0</v>
      </c>
      <c r="H35" s="11">
        <f t="shared" si="3"/>
        <v>500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800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474">
        <v>446379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37166</v>
      </c>
      <c r="F39" s="47"/>
      <c r="G39" s="47"/>
      <c r="H39" s="137">
        <f>+H38+H37</f>
        <v>447179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486">
        <v>104042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37166</v>
      </c>
      <c r="E47" s="371">
        <f>+H35</f>
        <v>500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104542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C30" sqref="C3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-610685</v>
      </c>
      <c r="C36" s="11">
        <f t="shared" si="15"/>
        <v>-613031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-2346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-2346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37164</v>
      </c>
      <c r="B38" s="2" t="s">
        <v>46</v>
      </c>
      <c r="C38" s="462">
        <v>64244</v>
      </c>
      <c r="D38" s="335"/>
      <c r="E38" s="461">
        <v>-59508</v>
      </c>
      <c r="F38" s="24"/>
      <c r="G38" s="24"/>
      <c r="H38" s="238">
        <f>+C38+E38+G38</f>
        <v>4736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37166</v>
      </c>
      <c r="B39" s="2" t="s">
        <v>46</v>
      </c>
      <c r="C39" s="131">
        <f>+C38+C37</f>
        <v>61898</v>
      </c>
      <c r="D39" s="257"/>
      <c r="E39" s="131">
        <f>+E38+E37</f>
        <v>-59508</v>
      </c>
      <c r="F39" s="257"/>
      <c r="G39" s="131"/>
      <c r="H39" s="131">
        <f>+H38+H36</f>
        <v>2390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5"/>
      <c r="E41" s="362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37164</v>
      </c>
      <c r="B44" s="32"/>
      <c r="C44" s="463">
        <v>-1583008</v>
      </c>
      <c r="D44" s="207"/>
      <c r="E44" s="464">
        <v>953705</v>
      </c>
      <c r="F44" s="47">
        <f>+E44+C44</f>
        <v>-629303</v>
      </c>
      <c r="G44" s="250"/>
      <c r="H44" s="40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37166</v>
      </c>
      <c r="B45" s="32"/>
      <c r="C45" s="47">
        <f>+C37*summary!H4</f>
        <v>-3753.6000000000004</v>
      </c>
      <c r="D45" s="207"/>
      <c r="E45" s="402">
        <f>+E37*summary!H3</f>
        <v>0</v>
      </c>
      <c r="F45" s="47">
        <f>+E45+C45</f>
        <v>-3753.6000000000004</v>
      </c>
      <c r="G45" s="250"/>
      <c r="H45" s="40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-1586761.6</v>
      </c>
      <c r="D46" s="207"/>
      <c r="E46" s="402">
        <f>+E45+E44</f>
        <v>953705</v>
      </c>
      <c r="F46" s="47">
        <f>+E46+C46</f>
        <v>-633056.60000000009</v>
      </c>
      <c r="G46" s="250"/>
      <c r="H46" s="40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02"/>
      <c r="D47" s="402"/>
      <c r="E47" s="402"/>
      <c r="F47" s="47"/>
      <c r="G47" s="250"/>
      <c r="H47" s="40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7" sqref="C27"/>
    </sheetView>
  </sheetViews>
  <sheetFormatPr defaultRowHeight="13.2" x14ac:dyDescent="0.25"/>
  <cols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194</v>
      </c>
      <c r="C4" s="293"/>
      <c r="D4" s="293"/>
      <c r="E4" s="3"/>
      <c r="F4" s="1"/>
      <c r="I4" s="3"/>
      <c r="J4" s="1"/>
      <c r="M4" s="3"/>
      <c r="N4" s="1"/>
    </row>
    <row r="5" spans="1:16" x14ac:dyDescent="0.25">
      <c r="A5" s="361" t="s">
        <v>11</v>
      </c>
      <c r="B5" s="492" t="s">
        <v>20</v>
      </c>
      <c r="C5" s="492" t="s">
        <v>21</v>
      </c>
      <c r="D5" s="49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93">
        <v>1</v>
      </c>
      <c r="B6" s="441">
        <v>138803</v>
      </c>
      <c r="C6" s="441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93">
        <v>2</v>
      </c>
      <c r="B7" s="501">
        <v>134400</v>
      </c>
      <c r="C7" s="441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93">
        <v>3</v>
      </c>
      <c r="B8" s="501"/>
      <c r="C8" s="441"/>
      <c r="D8" s="319">
        <f t="shared" ref="D8:D36" si="0">+C8-B8</f>
        <v>0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93">
        <v>4</v>
      </c>
      <c r="B9" s="501"/>
      <c r="C9" s="441"/>
      <c r="D9" s="319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93">
        <v>5</v>
      </c>
      <c r="B10" s="501"/>
      <c r="C10" s="441"/>
      <c r="D10" s="319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93">
        <v>6</v>
      </c>
      <c r="B11" s="501"/>
      <c r="C11" s="441"/>
      <c r="D11" s="319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93">
        <v>7</v>
      </c>
      <c r="B12" s="501"/>
      <c r="C12" s="441"/>
      <c r="D12" s="319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93">
        <v>8</v>
      </c>
      <c r="B13" s="441"/>
      <c r="C13" s="441"/>
      <c r="D13" s="319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93">
        <v>9</v>
      </c>
      <c r="B14" s="441"/>
      <c r="C14" s="441"/>
      <c r="D14" s="319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93">
        <v>10</v>
      </c>
      <c r="B15" s="441"/>
      <c r="C15" s="441"/>
      <c r="D15" s="319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93">
        <v>11</v>
      </c>
      <c r="B16" s="441"/>
      <c r="C16" s="441"/>
      <c r="D16" s="319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93">
        <v>12</v>
      </c>
      <c r="B17" s="441"/>
      <c r="C17" s="441"/>
      <c r="D17" s="319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93">
        <v>13</v>
      </c>
      <c r="B18" s="441"/>
      <c r="C18" s="441"/>
      <c r="D18" s="319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93">
        <v>14</v>
      </c>
      <c r="B19" s="441"/>
      <c r="C19" s="441"/>
      <c r="D19" s="319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93">
        <v>15</v>
      </c>
      <c r="B20" s="441"/>
      <c r="C20" s="441"/>
      <c r="D20" s="319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93">
        <v>16</v>
      </c>
      <c r="B21" s="441"/>
      <c r="C21" s="441"/>
      <c r="D21" s="319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93">
        <v>17</v>
      </c>
      <c r="B22" s="503"/>
      <c r="C22" s="441"/>
      <c r="D22" s="319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93">
        <v>18</v>
      </c>
      <c r="B23" s="441"/>
      <c r="C23" s="441"/>
      <c r="D23" s="319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93">
        <v>19</v>
      </c>
      <c r="B24" s="441"/>
      <c r="C24" s="441"/>
      <c r="D24" s="319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93">
        <v>20</v>
      </c>
      <c r="B25" s="441"/>
      <c r="C25" s="441"/>
      <c r="D25" s="319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93">
        <v>21</v>
      </c>
      <c r="B26" s="441"/>
      <c r="C26" s="441"/>
      <c r="D26" s="319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93">
        <v>22</v>
      </c>
      <c r="B27" s="441"/>
      <c r="C27" s="441"/>
      <c r="D27" s="319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93">
        <v>23</v>
      </c>
      <c r="B28" s="441"/>
      <c r="C28" s="441"/>
      <c r="D28" s="319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93">
        <v>24</v>
      </c>
      <c r="B29" s="441"/>
      <c r="C29" s="441"/>
      <c r="D29" s="319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93">
        <v>25</v>
      </c>
      <c r="B30" s="441"/>
      <c r="C30" s="441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93">
        <v>26</v>
      </c>
      <c r="B31" s="441"/>
      <c r="C31" s="441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93">
        <v>27</v>
      </c>
      <c r="B32" s="441"/>
      <c r="C32" s="441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93">
        <v>28</v>
      </c>
      <c r="B33" s="441"/>
      <c r="C33" s="441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93">
        <v>29</v>
      </c>
      <c r="B34" s="441"/>
      <c r="C34" s="441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93">
        <v>30</v>
      </c>
      <c r="B35" s="441"/>
      <c r="C35" s="441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93">
        <v>31</v>
      </c>
      <c r="B36" s="441"/>
      <c r="C36" s="441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93"/>
      <c r="B37" s="441">
        <f>SUM(B6:B36)</f>
        <v>273203</v>
      </c>
      <c r="C37" s="441">
        <f>SUM(C6:C36)</f>
        <v>273444</v>
      </c>
      <c r="D37" s="441">
        <f>SUM(D6:D36)</f>
        <v>241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5">
      <c r="A38" s="494"/>
      <c r="B38" s="293"/>
      <c r="C38" s="495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5">
      <c r="A39" s="56">
        <v>37164</v>
      </c>
      <c r="B39" s="293"/>
      <c r="C39" s="498"/>
      <c r="D39" s="502">
        <v>56571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5">
      <c r="A40" s="56">
        <v>37166</v>
      </c>
      <c r="B40" s="293"/>
      <c r="C40" s="500"/>
      <c r="D40" s="319">
        <f>+D39+D37</f>
        <v>56812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37164</v>
      </c>
      <c r="B45" s="32"/>
      <c r="C45" s="32"/>
      <c r="D45" s="470">
        <v>442996</v>
      </c>
    </row>
    <row r="46" spans="1:16" x14ac:dyDescent="0.25">
      <c r="A46" s="49">
        <f>+A40</f>
        <v>37166</v>
      </c>
      <c r="B46" s="32"/>
      <c r="C46" s="32"/>
      <c r="D46" s="400">
        <f>+D37*'by type_area'!J3</f>
        <v>366.32</v>
      </c>
    </row>
    <row r="47" spans="1:16" x14ac:dyDescent="0.25">
      <c r="A47" s="32"/>
      <c r="B47" s="32"/>
      <c r="C47" s="32"/>
      <c r="D47" s="202">
        <f>+D46+D45</f>
        <v>443362.32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2001-09-27T23:43:55Z</cp:lastPrinted>
  <dcterms:created xsi:type="dcterms:W3CDTF">2000-03-28T16:52:23Z</dcterms:created>
  <dcterms:modified xsi:type="dcterms:W3CDTF">2023-09-10T12:02:42Z</dcterms:modified>
</cp:coreProperties>
</file>