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activeTab="1"/>
    <workbookView xWindow="840" yWindow="480" windowWidth="10860" windowHeight="6408" tabRatio="601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C79" i="80"/>
  <c r="B80" i="80"/>
  <c r="C80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<sst xmlns="http://schemas.openxmlformats.org/spreadsheetml/2006/main" count="666" uniqueCount="204">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</sst>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2.66</v>
          </cell>
          <cell r="M39">
            <v>2.84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30" workbookViewId="3">
      <selection activeCell="A41" sqref="A41:IV42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9.886718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145</v>
      </c>
      <c r="D2" s="7"/>
      <c r="I2" s="416" t="s">
        <v>81</v>
      </c>
      <c r="J2" s="419"/>
      <c r="K2" s="32"/>
    </row>
    <row r="3" spans="1:32" ht="12.9" customHeight="1" x14ac:dyDescent="0.25">
      <c r="D3" s="7"/>
      <c r="I3" s="417" t="s">
        <v>30</v>
      </c>
      <c r="J3" s="420">
        <f>+summary!H3</f>
        <v>2.66</v>
      </c>
      <c r="K3" s="437">
        <f ca="1">NOW()</f>
        <v>37130.462157060188</v>
      </c>
    </row>
    <row r="4" spans="1:32" ht="12.9" customHeight="1" x14ac:dyDescent="0.25">
      <c r="A4" s="34" t="s">
        <v>152</v>
      </c>
      <c r="C4" s="34" t="s">
        <v>5</v>
      </c>
      <c r="D4" s="7"/>
      <c r="I4" s="418" t="s">
        <v>31</v>
      </c>
      <c r="J4" s="420">
        <f>+summary!H4</f>
        <v>2.84</v>
      </c>
      <c r="K4" s="32"/>
    </row>
    <row r="5" spans="1:32" ht="12.9" customHeight="1" x14ac:dyDescent="0.25">
      <c r="D5" s="7"/>
      <c r="I5" s="417" t="s">
        <v>120</v>
      </c>
      <c r="J5" s="420">
        <f>+summary!H5</f>
        <v>2.93</v>
      </c>
      <c r="K5" s="32"/>
    </row>
    <row r="6" spans="1:32" ht="12" customHeight="1" x14ac:dyDescent="0.25"/>
    <row r="7" spans="1:32" ht="12.9" customHeight="1" x14ac:dyDescent="0.25">
      <c r="A7" s="435" t="s">
        <v>179</v>
      </c>
      <c r="B7" s="436"/>
      <c r="AD7" s="32"/>
      <c r="AE7" s="32"/>
      <c r="AF7" s="32"/>
    </row>
    <row r="8" spans="1:32" ht="15.9" customHeight="1" outlineLevel="2" x14ac:dyDescent="0.25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9" t="s">
        <v>92</v>
      </c>
      <c r="B9" s="425" t="s">
        <v>163</v>
      </c>
      <c r="C9" s="434" t="s">
        <v>178</v>
      </c>
      <c r="D9" s="39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9" t="s">
        <v>169</v>
      </c>
    </row>
    <row r="12" spans="1:32" ht="15.9" customHeight="1" outlineLevel="1" x14ac:dyDescent="0.25">
      <c r="A12" s="206" t="s">
        <v>132</v>
      </c>
      <c r="B12" s="375">
        <f>+Calpine!D41</f>
        <v>84719.44</v>
      </c>
      <c r="C12" s="402">
        <f>+B12/$J$4</f>
        <v>29830.788732394369</v>
      </c>
      <c r="D12" s="14">
        <f>+Calpine!D47</f>
        <v>131027</v>
      </c>
      <c r="E12" s="70">
        <f>+C12-D12</f>
        <v>-101196.21126760563</v>
      </c>
      <c r="F12" s="397">
        <f>+Calpine!A41</f>
        <v>37128</v>
      </c>
      <c r="G12" s="205"/>
      <c r="H12" s="206" t="s">
        <v>102</v>
      </c>
      <c r="I12" s="381"/>
      <c r="J12" s="70"/>
      <c r="K12" s="32"/>
    </row>
    <row r="13" spans="1:32" ht="15.9" customHeight="1" outlineLevel="2" x14ac:dyDescent="0.25">
      <c r="A13" s="32" t="s">
        <v>144</v>
      </c>
      <c r="B13" s="375">
        <f>+'Citizens-Griffith'!D41</f>
        <v>-211612.72</v>
      </c>
      <c r="C13" s="401">
        <f>+B13/$J$4</f>
        <v>-74511.521126760563</v>
      </c>
      <c r="D13" s="14">
        <f>+'Citizens-Griffith'!D48</f>
        <v>-101147</v>
      </c>
      <c r="E13" s="70">
        <f>+C13-D13</f>
        <v>26635.478873239437</v>
      </c>
      <c r="F13" s="397">
        <f>+'Citizens-Griffith'!A41</f>
        <v>37128</v>
      </c>
      <c r="G13" s="205" t="s">
        <v>162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5">
        <f>+'NS Steel'!D41</f>
        <v>-438817.94</v>
      </c>
      <c r="C14" s="401">
        <f>+B14/$J$4</f>
        <v>-154513.35915492958</v>
      </c>
      <c r="D14" s="14">
        <f>+'NS Steel'!D50</f>
        <v>-83977</v>
      </c>
      <c r="E14" s="70">
        <f>+C14-D14</f>
        <v>-70536.359154929582</v>
      </c>
      <c r="F14" s="398">
        <f>+'NS Steel'!A41</f>
        <v>37128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" customHeight="1" outlineLevel="1" x14ac:dyDescent="0.25">
      <c r="A15" s="206" t="s">
        <v>140</v>
      </c>
      <c r="B15" s="378">
        <f>+Citizens!D18</f>
        <v>-788646.42</v>
      </c>
      <c r="C15" s="403">
        <f>+B15/$J$4</f>
        <v>-277692.40140845074</v>
      </c>
      <c r="D15" s="379">
        <f>+Citizens!D24</f>
        <v>-163917</v>
      </c>
      <c r="E15" s="72">
        <f>+C15-D15</f>
        <v>-113775.40140845074</v>
      </c>
      <c r="F15" s="397">
        <f>+Citizens!A18</f>
        <v>37128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" customHeight="1" outlineLevel="2" x14ac:dyDescent="0.25">
      <c r="A16" s="153" t="s">
        <v>170</v>
      </c>
      <c r="B16" s="421">
        <f>SUBTOTAL(9,B12:B15)</f>
        <v>-1354357.6400000001</v>
      </c>
      <c r="C16" s="428">
        <f>SUBTOTAL(9,C12:C15)</f>
        <v>-476886.49295774649</v>
      </c>
      <c r="D16" s="429">
        <f>SUBTOTAL(9,D12:D15)</f>
        <v>-218014</v>
      </c>
      <c r="E16" s="430">
        <f>SUBTOTAL(9,E12:E15)</f>
        <v>-258872.49295774649</v>
      </c>
      <c r="F16" s="397"/>
      <c r="G16" s="205"/>
      <c r="H16" s="206"/>
      <c r="I16" s="381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2" t="s">
        <v>59</v>
      </c>
      <c r="G18" s="7"/>
    </row>
    <row r="19" spans="1:20" ht="15.9" customHeight="1" outlineLevel="2" x14ac:dyDescent="0.25">
      <c r="A19" s="32" t="s">
        <v>74</v>
      </c>
      <c r="B19" s="376">
        <f>+transcol!$D$43</f>
        <v>13560.020000000002</v>
      </c>
      <c r="C19" s="401">
        <f>+B19/$J$4</f>
        <v>4774.6549295774657</v>
      </c>
      <c r="D19" s="14">
        <f>+transcol!D50</f>
        <v>-46307</v>
      </c>
      <c r="E19" s="70">
        <f>+C19-D19</f>
        <v>51081.654929577468</v>
      </c>
      <c r="F19" s="398">
        <f>+transcol!A43</f>
        <v>37128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8">
        <f>+burlington!D42</f>
        <v>4218.260000000002</v>
      </c>
      <c r="C20" s="405">
        <f>+B20/$J$3</f>
        <v>1585.8120300751887</v>
      </c>
      <c r="D20" s="379">
        <f>+burlington!D49</f>
        <v>403</v>
      </c>
      <c r="E20" s="72">
        <f>+C20-D20</f>
        <v>1182.8120300751887</v>
      </c>
      <c r="F20" s="397">
        <f>+burlington!A42</f>
        <v>37128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" customHeight="1" outlineLevel="2" x14ac:dyDescent="0.25">
      <c r="A21" s="153" t="s">
        <v>172</v>
      </c>
      <c r="B21" s="421">
        <f>SUBTOTAL(9,B19:B20)</f>
        <v>17778.280000000006</v>
      </c>
      <c r="C21" s="422">
        <f>SUBTOTAL(9,C19:C20)</f>
        <v>6360.4669596526546</v>
      </c>
      <c r="D21" s="429">
        <f>SUBTOTAL(9,D19:D20)</f>
        <v>-45904</v>
      </c>
      <c r="E21" s="430">
        <f>SUBTOTAL(9,E19:E20)</f>
        <v>52264.466959652658</v>
      </c>
      <c r="F21" s="397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9" t="s">
        <v>173</v>
      </c>
      <c r="G23" s="7"/>
    </row>
    <row r="24" spans="1:20" ht="15.9" customHeight="1" outlineLevel="2" x14ac:dyDescent="0.25">
      <c r="A24" s="206" t="s">
        <v>90</v>
      </c>
      <c r="B24" s="375">
        <f>+NNG!$D$24</f>
        <v>376371.49</v>
      </c>
      <c r="C24" s="401">
        <f t="shared" ref="C24:C35" si="0">+B24/$J$4</f>
        <v>132525.17253521128</v>
      </c>
      <c r="D24" s="14">
        <f>+NNG!D34</f>
        <v>-35340</v>
      </c>
      <c r="E24" s="70">
        <f t="shared" ref="E24:E37" si="1">+C24-D24</f>
        <v>167865.17253521128</v>
      </c>
      <c r="F24" s="397">
        <f>+NNG!A24</f>
        <v>37128</v>
      </c>
      <c r="G24" s="424" t="s">
        <v>160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5">
        <f>+Conoco!$F$41</f>
        <v>548786.79</v>
      </c>
      <c r="C25" s="401">
        <f t="shared" si="0"/>
        <v>193234.78521126762</v>
      </c>
      <c r="D25" s="14">
        <f>+Conoco!D48</f>
        <v>72634</v>
      </c>
      <c r="E25" s="70">
        <f t="shared" si="1"/>
        <v>120600.78521126762</v>
      </c>
      <c r="F25" s="397">
        <f>+Conoco!A41</f>
        <v>37128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" customHeight="1" outlineLevel="2" x14ac:dyDescent="0.25">
      <c r="A26" s="32" t="s">
        <v>3</v>
      </c>
      <c r="B26" s="375">
        <f>+'Amoco Abo'!$F$43</f>
        <v>422262.44</v>
      </c>
      <c r="C26" s="401">
        <f t="shared" si="0"/>
        <v>148683.95774647887</v>
      </c>
      <c r="D26" s="14">
        <f>+'Amoco Abo'!D49</f>
        <v>-242790</v>
      </c>
      <c r="E26" s="70">
        <f t="shared" si="1"/>
        <v>391473.95774647885</v>
      </c>
      <c r="F26" s="398">
        <f>+'Amoco Abo'!A43</f>
        <v>37128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" customHeight="1" outlineLevel="2" x14ac:dyDescent="0.25">
      <c r="A27" s="32" t="s">
        <v>110</v>
      </c>
      <c r="B27" s="375">
        <f>+KN_Westar!F41</f>
        <v>445767.91</v>
      </c>
      <c r="C27" s="401">
        <f t="shared" si="0"/>
        <v>156960.53169014084</v>
      </c>
      <c r="D27" s="14">
        <f>+KN_Westar!D48</f>
        <v>20577</v>
      </c>
      <c r="E27" s="70">
        <f t="shared" si="1"/>
        <v>136383.53169014084</v>
      </c>
      <c r="F27" s="398">
        <f>+KN_Westar!A41</f>
        <v>37128</v>
      </c>
      <c r="G27" s="205" t="s">
        <v>162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5">
        <f>+DEFS!F53</f>
        <v>289252.48000000045</v>
      </c>
      <c r="C28" s="402">
        <f t="shared" si="0"/>
        <v>101849.46478873256</v>
      </c>
      <c r="D28" s="14">
        <f>+DEFS!M53</f>
        <v>441790</v>
      </c>
      <c r="E28" s="70">
        <f t="shared" si="1"/>
        <v>-339940.53521126742</v>
      </c>
      <c r="F28" s="398">
        <f>+DEFS!A40</f>
        <v>37128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5">
        <f>+CIG!D43</f>
        <v>427495.48</v>
      </c>
      <c r="C29" s="401">
        <f t="shared" si="0"/>
        <v>150526.57746478874</v>
      </c>
      <c r="D29" s="14">
        <f>+CIG!D49</f>
        <v>41761</v>
      </c>
      <c r="E29" s="70">
        <f t="shared" si="1"/>
        <v>108765.57746478874</v>
      </c>
      <c r="F29" s="398">
        <f>+CIG!A43</f>
        <v>37125</v>
      </c>
      <c r="G29" s="205" t="s">
        <v>162</v>
      </c>
      <c r="H29" s="32" t="s">
        <v>116</v>
      </c>
      <c r="I29" s="32"/>
      <c r="J29" s="32"/>
      <c r="K29" s="32"/>
    </row>
    <row r="30" spans="1:20" ht="18" customHeight="1" outlineLevel="1" x14ac:dyDescent="0.25">
      <c r="A30" s="32" t="s">
        <v>2</v>
      </c>
      <c r="B30" s="375">
        <f>+mewborne!$J$43</f>
        <v>329216.64000000001</v>
      </c>
      <c r="C30" s="401">
        <f t="shared" si="0"/>
        <v>115921.35211267606</v>
      </c>
      <c r="D30" s="14">
        <f>+mewborne!D49</f>
        <v>131044</v>
      </c>
      <c r="E30" s="70">
        <f t="shared" si="1"/>
        <v>-15122.647887323939</v>
      </c>
      <c r="F30" s="398">
        <f>+mewborne!A43</f>
        <v>37128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154</v>
      </c>
      <c r="B31" s="375">
        <f>+PGETX!$H$39</f>
        <v>485265.05</v>
      </c>
      <c r="C31" s="401">
        <f t="shared" si="0"/>
        <v>170867.97535211267</v>
      </c>
      <c r="D31" s="14">
        <f>+PGETX!E48</f>
        <v>119838</v>
      </c>
      <c r="E31" s="70">
        <f t="shared" si="1"/>
        <v>51029.975352112669</v>
      </c>
      <c r="F31" s="398">
        <f>+PGETX!E39</f>
        <v>37128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5">
      <c r="A32" s="32" t="s">
        <v>85</v>
      </c>
      <c r="B32" s="375">
        <f>+PNM!$D$23</f>
        <v>139898.86999999997</v>
      </c>
      <c r="C32" s="401">
        <f t="shared" si="0"/>
        <v>49260.165492957734</v>
      </c>
      <c r="D32" s="14">
        <f>+PNM!D30</f>
        <v>12380</v>
      </c>
      <c r="E32" s="70">
        <f t="shared" si="1"/>
        <v>36880.165492957734</v>
      </c>
      <c r="F32" s="398">
        <f>+PNM!A23</f>
        <v>37128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5">
        <f>+EOG!J41</f>
        <v>83993.16</v>
      </c>
      <c r="C33" s="401">
        <f t="shared" si="0"/>
        <v>29575.056338028171</v>
      </c>
      <c r="D33" s="14">
        <f>+EOG!D48</f>
        <v>-83298</v>
      </c>
      <c r="E33" s="70">
        <f t="shared" si="1"/>
        <v>112873.05633802817</v>
      </c>
      <c r="F33" s="397">
        <f>+EOG!A41</f>
        <v>37128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5">
        <f>+SidR!D41</f>
        <v>10093.85</v>
      </c>
      <c r="C34" s="401">
        <f t="shared" si="0"/>
        <v>3554.172535211268</v>
      </c>
      <c r="D34" s="14">
        <f>+SidR!D48</f>
        <v>56808</v>
      </c>
      <c r="E34" s="70">
        <f t="shared" si="1"/>
        <v>-53253.82746478873</v>
      </c>
      <c r="F34" s="398">
        <f>+SidR!A41</f>
        <v>37128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5">
        <f>+Continental!F43</f>
        <v>-5216.57</v>
      </c>
      <c r="C35" s="402">
        <f t="shared" si="0"/>
        <v>-1836.8204225352113</v>
      </c>
      <c r="D35" s="14">
        <f>+Continental!D50</f>
        <v>-17302</v>
      </c>
      <c r="E35" s="70">
        <f t="shared" si="1"/>
        <v>15465.179577464789</v>
      </c>
      <c r="F35" s="398">
        <f>+Continental!A43</f>
        <v>37128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5">
        <f>+EPFS!D41</f>
        <v>-133506.75</v>
      </c>
      <c r="C36" s="402">
        <f>+B36/$J$5</f>
        <v>-45565.443686006824</v>
      </c>
      <c r="D36" s="14">
        <f>+EPFS!D47</f>
        <v>-34659</v>
      </c>
      <c r="E36" s="70">
        <f t="shared" si="1"/>
        <v>-10906.443686006824</v>
      </c>
      <c r="F36" s="397">
        <f>+EPFS!A41</f>
        <v>37128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8">
        <f>+Agave!$D$24</f>
        <v>-179023.67</v>
      </c>
      <c r="C37" s="403">
        <f>+B37/$J$4</f>
        <v>-63036.503521126768</v>
      </c>
      <c r="D37" s="379">
        <f>+Agave!D31</f>
        <v>-98379</v>
      </c>
      <c r="E37" s="72">
        <f t="shared" si="1"/>
        <v>35342.496478873232</v>
      </c>
      <c r="F37" s="397">
        <f>+Agave!A24</f>
        <v>37128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175</v>
      </c>
      <c r="B38" s="421">
        <f>SUBTOTAL(9,B24:B37)</f>
        <v>3240657.1700000009</v>
      </c>
      <c r="C38" s="428">
        <f>SUBTOTAL(9,C24:C37)</f>
        <v>1142520.4436379371</v>
      </c>
      <c r="D38" s="429">
        <f>SUBTOTAL(9,D24:D37)</f>
        <v>385064</v>
      </c>
      <c r="E38" s="430">
        <f>SUBTOTAL(9,E24:E37)</f>
        <v>757456.44363793696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176</v>
      </c>
      <c r="B40" s="421">
        <f>SUBTOTAL(9,B12:B37)</f>
        <v>1904077.810000001</v>
      </c>
      <c r="C40" s="428">
        <f>SUBTOTAL(9,C12:C37)</f>
        <v>671994.41763984319</v>
      </c>
      <c r="D40" s="429">
        <f>SUBTOTAL(9,D12:D37)</f>
        <v>121146</v>
      </c>
      <c r="E40" s="430">
        <f>SUBTOTAL(9,E12:E37)</f>
        <v>550848.41763984307</v>
      </c>
      <c r="F40" s="397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5">
      <c r="D46" s="7"/>
      <c r="I46" s="417" t="s">
        <v>30</v>
      </c>
      <c r="J46" s="420">
        <f>+J3</f>
        <v>2.66</v>
      </c>
      <c r="K46" s="437">
        <f ca="1">NOW()</f>
        <v>37130.462157060188</v>
      </c>
    </row>
    <row r="47" spans="1:12" ht="13.5" customHeight="1" outlineLevel="2" x14ac:dyDescent="0.25">
      <c r="A47" s="34" t="s">
        <v>152</v>
      </c>
      <c r="C47" s="34" t="s">
        <v>5</v>
      </c>
      <c r="D47" s="7"/>
      <c r="I47" s="418" t="s">
        <v>31</v>
      </c>
      <c r="J47" s="420">
        <f>+J4</f>
        <v>2.84</v>
      </c>
      <c r="K47" s="32"/>
    </row>
    <row r="48" spans="1:12" ht="13.5" customHeight="1" outlineLevel="1" x14ac:dyDescent="0.25">
      <c r="D48" s="7"/>
      <c r="I48" s="417" t="s">
        <v>120</v>
      </c>
      <c r="J48" s="420">
        <f>+J5</f>
        <v>2.93</v>
      </c>
      <c r="K48" s="32"/>
    </row>
    <row r="49" spans="1:19" ht="13.5" customHeight="1" outlineLevel="2" x14ac:dyDescent="0.25"/>
    <row r="50" spans="1:19" ht="13.5" customHeight="1" outlineLevel="2" x14ac:dyDescent="0.25">
      <c r="A50" s="435" t="s">
        <v>180</v>
      </c>
      <c r="B50" s="436"/>
    </row>
    <row r="51" spans="1:19" ht="13.5" customHeight="1" outlineLevel="2" x14ac:dyDescent="0.25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6"/>
      <c r="C53" s="252"/>
    </row>
    <row r="54" spans="1:19" ht="13.5" customHeight="1" outlineLevel="1" x14ac:dyDescent="0.25">
      <c r="A54" s="399" t="s">
        <v>169</v>
      </c>
      <c r="B54" s="296"/>
      <c r="C54" s="252"/>
    </row>
    <row r="55" spans="1:19" ht="13.5" customHeight="1" outlineLevel="2" x14ac:dyDescent="0.25">
      <c r="A55" s="32" t="s">
        <v>97</v>
      </c>
      <c r="B55" s="401">
        <f>+Mojave!D40</f>
        <v>150125</v>
      </c>
      <c r="C55" s="375">
        <f>+B55*$J$4</f>
        <v>426355</v>
      </c>
      <c r="D55" s="47">
        <f>+Mojave!D47</f>
        <v>122814.48</v>
      </c>
      <c r="E55" s="47">
        <f>+C55-D55</f>
        <v>303540.52</v>
      </c>
      <c r="F55" s="398">
        <f>+Mojave!A40</f>
        <v>37128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5">
      <c r="A56" s="32" t="s">
        <v>33</v>
      </c>
      <c r="B56" s="402">
        <f>+SoCal!F40</f>
        <v>184491</v>
      </c>
      <c r="C56" s="375">
        <f>+B56*$J$4</f>
        <v>523954.44</v>
      </c>
      <c r="D56" s="47">
        <f>+SoCal!D47</f>
        <v>560278.66</v>
      </c>
      <c r="E56" s="47">
        <f>+C56-D56</f>
        <v>-36324.22000000003</v>
      </c>
      <c r="F56" s="398">
        <f>+SoCal!A40</f>
        <v>37128</v>
      </c>
      <c r="H56" s="32" t="s">
        <v>105</v>
      </c>
      <c r="I56" s="32"/>
      <c r="J56" s="32"/>
      <c r="K56" s="32"/>
    </row>
    <row r="57" spans="1:19" ht="15" customHeight="1" outlineLevel="2" x14ac:dyDescent="0.25">
      <c r="A57" s="32" t="s">
        <v>202</v>
      </c>
      <c r="B57" s="401">
        <f>+'El Paso'!C39</f>
        <v>64156</v>
      </c>
      <c r="C57" s="375">
        <f>+B57*$J$4</f>
        <v>182203.03999999998</v>
      </c>
      <c r="D57" s="47">
        <f>+'El Paso'!C46</f>
        <v>-1583281.92</v>
      </c>
      <c r="E57" s="47">
        <f>+C57-D57</f>
        <v>1765484.96</v>
      </c>
      <c r="F57" s="398">
        <f>+'El Paso'!A31</f>
        <v>27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5">
      <c r="A58" s="32" t="s">
        <v>117</v>
      </c>
      <c r="B58" s="403">
        <f>+'PG&amp;E'!D40</f>
        <v>39537</v>
      </c>
      <c r="C58" s="378">
        <f>+B58*$J$4</f>
        <v>112285.07999999999</v>
      </c>
      <c r="D58" s="378">
        <f>+'PG&amp;E'!D47</f>
        <v>-114514.30000000002</v>
      </c>
      <c r="E58" s="378">
        <f>+C58-D58</f>
        <v>226799.38</v>
      </c>
      <c r="F58" s="398">
        <f>+'PG&amp;E'!A40</f>
        <v>37128</v>
      </c>
      <c r="H58" s="32" t="s">
        <v>105</v>
      </c>
      <c r="I58" s="32"/>
      <c r="J58" s="32"/>
      <c r="K58" s="32"/>
    </row>
    <row r="59" spans="1:19" ht="15" customHeight="1" x14ac:dyDescent="0.25">
      <c r="A59" s="2" t="s">
        <v>170</v>
      </c>
      <c r="B59" s="428">
        <f>SUBTOTAL(9,B55:B58)</f>
        <v>438309</v>
      </c>
      <c r="C59" s="421">
        <f>SUBTOTAL(9,C55:C58)</f>
        <v>1244797.56</v>
      </c>
      <c r="D59" s="421">
        <f>SUBTOTAL(9,D55:D58)</f>
        <v>-1014703.08</v>
      </c>
      <c r="E59" s="421">
        <f>SUBTOTAL(9,E55:E58)</f>
        <v>2259500.64</v>
      </c>
      <c r="F59" s="398"/>
      <c r="G59" s="205"/>
      <c r="H59" s="32"/>
      <c r="I59" s="32"/>
      <c r="J59" s="32"/>
      <c r="K59" s="32"/>
    </row>
    <row r="60" spans="1:19" ht="12.9" customHeight="1" x14ac:dyDescent="0.25">
      <c r="B60" s="296"/>
      <c r="C60" s="252"/>
      <c r="G60" s="205"/>
    </row>
    <row r="61" spans="1:19" ht="15" customHeight="1" x14ac:dyDescent="0.25">
      <c r="A61" s="399" t="s">
        <v>59</v>
      </c>
      <c r="B61" s="296"/>
      <c r="C61" s="252"/>
      <c r="G61" s="205"/>
    </row>
    <row r="62" spans="1:19" x14ac:dyDescent="0.25">
      <c r="A62" s="206" t="s">
        <v>29</v>
      </c>
      <c r="B62" s="401">
        <f>+williams!J40</f>
        <v>294819</v>
      </c>
      <c r="C62" s="375">
        <f>+B62*$J$3</f>
        <v>784218.54</v>
      </c>
      <c r="D62" s="47">
        <f>+williams!D48</f>
        <v>1338175.23</v>
      </c>
      <c r="E62" s="47">
        <f>+C62-D62</f>
        <v>-553956.68999999994</v>
      </c>
      <c r="F62" s="397">
        <f>+williams!A40</f>
        <v>37128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5">
      <c r="A63" s="32" t="s">
        <v>24</v>
      </c>
      <c r="B63" s="401">
        <f>+'Red C'!F43</f>
        <v>137593</v>
      </c>
      <c r="C63" s="376">
        <f>+B63*J3</f>
        <v>365997.38</v>
      </c>
      <c r="D63" s="202">
        <f>+'Red C'!D52</f>
        <v>664455.07999999996</v>
      </c>
      <c r="E63" s="47">
        <f>+C63-D63</f>
        <v>-298457.69999999995</v>
      </c>
      <c r="F63" s="397">
        <f>+'Red C'!B43</f>
        <v>37128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5">
      <c r="A64" s="32" t="s">
        <v>6</v>
      </c>
      <c r="B64" s="401">
        <f>+Amoco!D40</f>
        <v>99365</v>
      </c>
      <c r="C64" s="375">
        <f>+B64*$J$3</f>
        <v>264310.90000000002</v>
      </c>
      <c r="D64" s="47">
        <f>+Amoco!D47</f>
        <v>530073.65</v>
      </c>
      <c r="E64" s="47">
        <f>+C64-D64</f>
        <v>-265762.75</v>
      </c>
      <c r="F64" s="398">
        <f>+Amoco!A40</f>
        <v>37128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203</v>
      </c>
      <c r="B65" s="401">
        <f>+'El Paso'!E39</f>
        <v>-66707</v>
      </c>
      <c r="C65" s="375">
        <f>+B65*$J$3</f>
        <v>-177440.62</v>
      </c>
      <c r="D65" s="47">
        <f>+'El Paso'!F46</f>
        <v>-647391.2799999998</v>
      </c>
      <c r="E65" s="47">
        <f>+C65-D65</f>
        <v>469950.6599999998</v>
      </c>
      <c r="F65" s="398">
        <f>+'El Paso'!A39</f>
        <v>37128</v>
      </c>
      <c r="G65" s="475"/>
      <c r="H65" s="32" t="s">
        <v>103</v>
      </c>
      <c r="I65" s="32" t="s">
        <v>193</v>
      </c>
      <c r="J65" s="32"/>
      <c r="K65" s="32"/>
    </row>
    <row r="66" spans="1:12" x14ac:dyDescent="0.25">
      <c r="A66" s="32" t="s">
        <v>1</v>
      </c>
      <c r="B66" s="403">
        <f>+NW!$F$41</f>
        <v>74476</v>
      </c>
      <c r="C66" s="378">
        <f>+B66*$J$3</f>
        <v>198106.16</v>
      </c>
      <c r="D66" s="378">
        <f>+NW!E49</f>
        <v>-303257.88</v>
      </c>
      <c r="E66" s="378">
        <f>+C66-D66</f>
        <v>501364.04000000004</v>
      </c>
      <c r="F66" s="397">
        <f>+NW!B41</f>
        <v>37128</v>
      </c>
      <c r="G66" s="205" t="s">
        <v>161</v>
      </c>
      <c r="H66" s="32" t="s">
        <v>118</v>
      </c>
      <c r="I66" s="32"/>
      <c r="J66" s="32"/>
      <c r="K66" s="32"/>
    </row>
    <row r="67" spans="1:12" x14ac:dyDescent="0.25">
      <c r="A67" s="32" t="s">
        <v>171</v>
      </c>
      <c r="B67" s="428">
        <f>SUBTOTAL(9,B62:B66)</f>
        <v>539546</v>
      </c>
      <c r="C67" s="421">
        <f>SUBTOTAL(9,C62:C66)</f>
        <v>1435192.3599999996</v>
      </c>
      <c r="D67" s="421">
        <f>SUBTOTAL(9,D62:D66)</f>
        <v>1582054.8000000003</v>
      </c>
      <c r="E67" s="421">
        <f>SUBTOTAL(9,E62:E66)</f>
        <v>-146862.44000000006</v>
      </c>
      <c r="F67" s="397"/>
      <c r="G67" s="205"/>
      <c r="H67" s="32"/>
      <c r="I67" s="32"/>
      <c r="J67" s="32"/>
      <c r="K67" s="32"/>
    </row>
    <row r="68" spans="1:12" x14ac:dyDescent="0.25">
      <c r="B68" s="296"/>
      <c r="C68" s="252"/>
      <c r="G68" s="205"/>
    </row>
    <row r="69" spans="1:12" x14ac:dyDescent="0.25">
      <c r="A69" s="399" t="s">
        <v>173</v>
      </c>
      <c r="B69" s="296"/>
      <c r="C69" s="252"/>
      <c r="G69" s="205"/>
    </row>
    <row r="70" spans="1:12" x14ac:dyDescent="0.25">
      <c r="A70" s="32" t="s">
        <v>91</v>
      </c>
      <c r="B70" s="401">
        <f>+NGPL!F38</f>
        <v>135610</v>
      </c>
      <c r="C70" s="375">
        <f>+B70*$J$4</f>
        <v>385132.39999999997</v>
      </c>
      <c r="D70" s="47">
        <f>+NGPL!D45</f>
        <v>343345</v>
      </c>
      <c r="E70" s="47">
        <f>+C70-D70</f>
        <v>41787.399999999965</v>
      </c>
      <c r="F70" s="398">
        <f>+NGPL!A38</f>
        <v>37128</v>
      </c>
      <c r="G70" s="205"/>
      <c r="H70" s="32" t="s">
        <v>118</v>
      </c>
      <c r="I70" s="32"/>
      <c r="J70" s="32"/>
      <c r="K70" s="32"/>
    </row>
    <row r="71" spans="1:12" x14ac:dyDescent="0.25">
      <c r="A71" s="32" t="s">
        <v>148</v>
      </c>
      <c r="B71" s="401">
        <f>+PEPL!D41</f>
        <v>64490</v>
      </c>
      <c r="C71" s="376">
        <f>+B71*$J$4</f>
        <v>183151.59999999998</v>
      </c>
      <c r="D71" s="47">
        <f>+PEPL!D47</f>
        <v>307608.89999999997</v>
      </c>
      <c r="E71" s="47">
        <f>+C71-D71</f>
        <v>-124457.29999999999</v>
      </c>
      <c r="F71" s="398">
        <f>+PEPL!A41</f>
        <v>37128</v>
      </c>
      <c r="H71" s="32" t="s">
        <v>103</v>
      </c>
      <c r="I71" s="32" t="s">
        <v>147</v>
      </c>
      <c r="J71" s="32"/>
      <c r="K71" s="32"/>
    </row>
    <row r="72" spans="1:12" x14ac:dyDescent="0.25">
      <c r="A72" s="32" t="s">
        <v>7</v>
      </c>
      <c r="B72" s="402">
        <f>+Oasis!D40</f>
        <v>42802</v>
      </c>
      <c r="C72" s="375">
        <f>+B72*$J$4</f>
        <v>121557.68</v>
      </c>
      <c r="D72" s="47">
        <f>+Oasis!D47</f>
        <v>-265333.02999999997</v>
      </c>
      <c r="E72" s="47">
        <f>+C72-D72</f>
        <v>386890.70999999996</v>
      </c>
      <c r="F72" s="398">
        <f>+Oasis!B40</f>
        <v>37128</v>
      </c>
      <c r="H72" s="32" t="s">
        <v>105</v>
      </c>
      <c r="I72" s="32"/>
      <c r="J72" s="32"/>
      <c r="K72" s="32"/>
    </row>
    <row r="73" spans="1:12" x14ac:dyDescent="0.25">
      <c r="A73" s="32" t="s">
        <v>32</v>
      </c>
      <c r="B73" s="405">
        <f>+Lonestar!F42</f>
        <v>67498</v>
      </c>
      <c r="C73" s="378">
        <f>+B73*$J$4</f>
        <v>191694.31999999998</v>
      </c>
      <c r="D73" s="378">
        <f>+Lonestar!D49</f>
        <v>58523.149999999994</v>
      </c>
      <c r="E73" s="378">
        <f>+C73-D73</f>
        <v>133171.16999999998</v>
      </c>
      <c r="F73" s="397">
        <f>+Lonestar!B42</f>
        <v>37128</v>
      </c>
      <c r="H73" s="32" t="s">
        <v>105</v>
      </c>
      <c r="I73" s="32"/>
      <c r="J73" s="32"/>
      <c r="K73" s="32"/>
    </row>
    <row r="74" spans="1:12" x14ac:dyDescent="0.25">
      <c r="A74" s="2" t="s">
        <v>174</v>
      </c>
      <c r="B74" s="422">
        <f>SUBTOTAL(9,B70:B73)</f>
        <v>310400</v>
      </c>
      <c r="C74" s="421">
        <f>SUBTOTAL(9,C70:C73)</f>
        <v>881535.99999999988</v>
      </c>
      <c r="D74" s="421">
        <f>SUBTOTAL(9,D70:D73)</f>
        <v>444144.0199999999</v>
      </c>
      <c r="E74" s="421">
        <f>SUBTOTAL(9,E70:E73)</f>
        <v>437391.97999999992</v>
      </c>
      <c r="F74" s="397"/>
      <c r="H74" s="32"/>
      <c r="I74" s="32"/>
      <c r="J74" s="32"/>
      <c r="K74" s="32"/>
    </row>
    <row r="75" spans="1:12" x14ac:dyDescent="0.25">
      <c r="B75" s="296"/>
      <c r="C75" s="252"/>
    </row>
    <row r="76" spans="1:12" x14ac:dyDescent="0.25">
      <c r="A76" s="2" t="s">
        <v>181</v>
      </c>
      <c r="B76" s="422">
        <f>SUBTOTAL(9,B55:B73)</f>
        <v>1288255</v>
      </c>
      <c r="C76" s="421">
        <f>SUBTOTAL(9,C55:C73)</f>
        <v>3561525.92</v>
      </c>
      <c r="D76" s="421">
        <f>SUBTOTAL(9,D55:D73)</f>
        <v>1011495.7400000001</v>
      </c>
      <c r="E76" s="421">
        <f>SUBTOTAL(9,E55:E73)</f>
        <v>2550030.1799999997</v>
      </c>
      <c r="F76" s="397"/>
      <c r="H76" s="32"/>
      <c r="I76" s="32"/>
      <c r="J76" s="32"/>
      <c r="K76" s="32"/>
    </row>
    <row r="77" spans="1:12" x14ac:dyDescent="0.25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5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8" thickBot="1" x14ac:dyDescent="0.3">
      <c r="A79" s="2" t="s">
        <v>187</v>
      </c>
      <c r="B79" s="431">
        <f>+C76+B40</f>
        <v>5465603.7300000004</v>
      </c>
      <c r="C79" s="208">
        <f>+summary!B45</f>
        <v>5465603.7299999995</v>
      </c>
      <c r="D79" s="375"/>
      <c r="E79" s="375"/>
      <c r="F79" s="382"/>
      <c r="H79" s="32"/>
      <c r="I79" s="32"/>
      <c r="J79" s="32"/>
      <c r="K79" s="32"/>
    </row>
    <row r="80" spans="1:12" ht="13.8" thickTop="1" x14ac:dyDescent="0.25">
      <c r="A80" s="2" t="s">
        <v>188</v>
      </c>
      <c r="B80" s="14">
        <f>+B76+C40</f>
        <v>1960249.4176398432</v>
      </c>
      <c r="C80" s="404">
        <f>+summary!C45</f>
        <v>1960249.4176398437</v>
      </c>
      <c r="D80" s="478"/>
      <c r="E80" s="304"/>
      <c r="F80" s="382"/>
      <c r="G80" s="32"/>
      <c r="H80" s="32"/>
      <c r="I80" s="32"/>
      <c r="J80" s="32"/>
    </row>
    <row r="81" spans="1:10" x14ac:dyDescent="0.25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5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95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2" workbookViewId="3">
      <selection activeCell="E33" sqref="E33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3493726</v>
      </c>
      <c r="C39" s="150">
        <f>SUM(C8:C38)</f>
        <v>3483014</v>
      </c>
      <c r="D39" s="150">
        <f>SUM(D8:D38)</f>
        <v>304108</v>
      </c>
      <c r="E39" s="150">
        <f>SUM(E8:E38)</f>
        <v>305280</v>
      </c>
      <c r="F39" s="11">
        <f t="shared" si="5"/>
        <v>-9540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37128</v>
      </c>
      <c r="C43" s="142"/>
      <c r="D43" s="142"/>
      <c r="E43" s="142"/>
      <c r="F43" s="150">
        <f>+F42+F39</f>
        <v>137593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37128</v>
      </c>
      <c r="B51" s="32"/>
      <c r="C51" s="32"/>
      <c r="D51" s="408">
        <f>+F39*'by type'!J3</f>
        <v>-25376.400000000001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664455.07999999996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C30" sqref="C30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-1451623</v>
      </c>
      <c r="C36" s="24">
        <f>SUM(C5:C35)</f>
        <v>-1443800</v>
      </c>
      <c r="D36" s="24">
        <f t="shared" si="0"/>
        <v>7823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37128</v>
      </c>
      <c r="C40" s="24"/>
      <c r="D40" s="195">
        <f>+D36+D38</f>
        <v>42802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440">
        <v>-287550.34999999998</v>
      </c>
    </row>
    <row r="46" spans="1:65" x14ac:dyDescent="0.25">
      <c r="A46" s="49">
        <f>+B40</f>
        <v>37128</v>
      </c>
      <c r="B46" s="32"/>
      <c r="C46" s="32"/>
      <c r="D46" s="408">
        <f>+D36*'by type'!J4</f>
        <v>22217.32</v>
      </c>
    </row>
    <row r="47" spans="1:65" x14ac:dyDescent="0.25">
      <c r="A47" s="32"/>
      <c r="B47" s="32"/>
      <c r="C47" s="32"/>
      <c r="D47" s="202">
        <f>+D46+D45</f>
        <v>-265333.02999999997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837969</v>
      </c>
      <c r="C5" s="90">
        <v>866891</v>
      </c>
      <c r="D5" s="90">
        <f>+C5-B5</f>
        <v>28922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797231</v>
      </c>
      <c r="C7" s="90">
        <v>778531</v>
      </c>
      <c r="D7" s="90">
        <f t="shared" si="0"/>
        <v>-18700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1087473</v>
      </c>
      <c r="C8" s="90">
        <v>1136200</v>
      </c>
      <c r="D8" s="90">
        <f t="shared" si="0"/>
        <v>48727</v>
      </c>
      <c r="E8" s="285"/>
      <c r="F8" s="283"/>
    </row>
    <row r="9" spans="1:13" x14ac:dyDescent="0.25">
      <c r="A9" s="87">
        <v>500293</v>
      </c>
      <c r="B9" s="90">
        <v>364041</v>
      </c>
      <c r="C9" s="90">
        <v>505957</v>
      </c>
      <c r="D9" s="90">
        <f t="shared" si="0"/>
        <v>141916</v>
      </c>
      <c r="E9" s="285"/>
      <c r="F9" s="283"/>
    </row>
    <row r="10" spans="1:13" x14ac:dyDescent="0.25">
      <c r="A10" s="87">
        <v>500302</v>
      </c>
      <c r="B10" s="319"/>
      <c r="C10" s="319">
        <v>9400</v>
      </c>
      <c r="D10" s="90">
        <f t="shared" si="0"/>
        <v>9400</v>
      </c>
      <c r="E10" s="285"/>
      <c r="F10" s="283"/>
    </row>
    <row r="11" spans="1:13" x14ac:dyDescent="0.25">
      <c r="A11" s="87">
        <v>500303</v>
      </c>
      <c r="B11" s="319">
        <v>220958</v>
      </c>
      <c r="C11" s="90">
        <v>278806</v>
      </c>
      <c r="D11" s="90">
        <f t="shared" si="0"/>
        <v>57848</v>
      </c>
      <c r="E11" s="285"/>
      <c r="F11" s="283"/>
    </row>
    <row r="12" spans="1:13" x14ac:dyDescent="0.25">
      <c r="A12" s="91">
        <v>500305</v>
      </c>
      <c r="B12" s="319">
        <v>854605</v>
      </c>
      <c r="C12" s="90">
        <v>1109622</v>
      </c>
      <c r="D12" s="90">
        <f t="shared" si="0"/>
        <v>255017</v>
      </c>
      <c r="E12" s="286"/>
      <c r="F12" s="283"/>
    </row>
    <row r="13" spans="1:13" x14ac:dyDescent="0.25">
      <c r="A13" s="87">
        <v>500307</v>
      </c>
      <c r="B13" s="319">
        <v>91997</v>
      </c>
      <c r="C13" s="90">
        <v>100368</v>
      </c>
      <c r="D13" s="90">
        <f t="shared" si="0"/>
        <v>8371</v>
      </c>
      <c r="E13" s="285"/>
      <c r="F13" s="283"/>
    </row>
    <row r="14" spans="1:13" x14ac:dyDescent="0.25">
      <c r="A14" s="87">
        <v>500313</v>
      </c>
      <c r="B14" s="90"/>
      <c r="C14" s="319">
        <v>2621</v>
      </c>
      <c r="D14" s="90">
        <f t="shared" si="0"/>
        <v>2621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563490</v>
      </c>
      <c r="C16" s="90"/>
      <c r="D16" s="90">
        <f t="shared" si="0"/>
        <v>-563490</v>
      </c>
      <c r="E16" s="285"/>
      <c r="F16" s="283"/>
    </row>
    <row r="17" spans="1:6" x14ac:dyDescent="0.25">
      <c r="A17" s="87">
        <v>500657</v>
      </c>
      <c r="B17" s="335">
        <v>124714</v>
      </c>
      <c r="C17" s="88">
        <v>137449</v>
      </c>
      <c r="D17" s="94">
        <f t="shared" si="0"/>
        <v>12735</v>
      </c>
      <c r="E17" s="285"/>
      <c r="F17" s="283"/>
    </row>
    <row r="18" spans="1:6" x14ac:dyDescent="0.25">
      <c r="A18" s="87"/>
      <c r="B18" s="88"/>
      <c r="C18" s="88"/>
      <c r="D18" s="88">
        <f>SUM(D5:D17)</f>
        <v>-16633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2.84</v>
      </c>
      <c r="E19" s="287"/>
      <c r="F19" s="283"/>
    </row>
    <row r="20" spans="1:6" x14ac:dyDescent="0.25">
      <c r="A20" s="87"/>
      <c r="B20" s="88"/>
      <c r="C20" s="88"/>
      <c r="D20" s="96">
        <f>+D19*D18</f>
        <v>-47237.72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37128</v>
      </c>
      <c r="B24" s="88"/>
      <c r="C24" s="88"/>
      <c r="D24" s="334">
        <f>+D22+D20</f>
        <v>-179023.67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157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212">
        <v>-81746</v>
      </c>
    </row>
    <row r="30" spans="1:6" x14ac:dyDescent="0.25">
      <c r="A30" s="49">
        <f>+A24</f>
        <v>37128</v>
      </c>
      <c r="B30" s="32"/>
      <c r="C30" s="32"/>
      <c r="D30" s="379">
        <f>+D18</f>
        <v>-16633</v>
      </c>
    </row>
    <row r="31" spans="1:6" x14ac:dyDescent="0.25">
      <c r="A31" s="32"/>
      <c r="B31" s="32"/>
      <c r="C31" s="32"/>
      <c r="D31" s="14">
        <f>+D30+D29</f>
        <v>-98379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C26" sqref="C2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870733</v>
      </c>
      <c r="C35" s="11">
        <f>SUM(C4:C34)</f>
        <v>819578</v>
      </c>
      <c r="D35" s="11">
        <f>SUM(D4:D34)</f>
        <v>748677</v>
      </c>
      <c r="E35" s="11">
        <f>SUM(E4:E34)</f>
        <v>777335</v>
      </c>
      <c r="F35" s="11">
        <f>+E35-D35+C35-B35</f>
        <v>-22497</v>
      </c>
    </row>
    <row r="36" spans="1:7" x14ac:dyDescent="0.2">
      <c r="A36" s="45"/>
      <c r="C36" s="14">
        <f>+C35-B35</f>
        <v>-51155</v>
      </c>
      <c r="D36" s="14"/>
      <c r="E36" s="14">
        <f>+E35-D35</f>
        <v>28658</v>
      </c>
      <c r="F36" s="47"/>
    </row>
    <row r="37" spans="1:7" x14ac:dyDescent="0.2">
      <c r="C37" s="15">
        <f>+summary!H4</f>
        <v>2.84</v>
      </c>
      <c r="D37" s="15"/>
      <c r="E37" s="15">
        <f>+C37</f>
        <v>2.84</v>
      </c>
      <c r="F37" s="24"/>
    </row>
    <row r="38" spans="1:7" x14ac:dyDescent="0.2">
      <c r="C38" s="48">
        <f>+C37*C36</f>
        <v>-145280.19999999998</v>
      </c>
      <c r="D38" s="47"/>
      <c r="E38" s="48">
        <f>+E37*E36</f>
        <v>81388.72</v>
      </c>
      <c r="F38" s="46">
        <f>+E38+C38</f>
        <v>-63891.479999999981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37128</v>
      </c>
      <c r="C41" s="106">
        <f>+C40+C38</f>
        <v>467398.07000000007</v>
      </c>
      <c r="D41" s="106"/>
      <c r="E41" s="106">
        <f>+E40+E38</f>
        <v>81388.72</v>
      </c>
      <c r="F41" s="106">
        <f>+E41+C41</f>
        <v>548786.79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37128</v>
      </c>
      <c r="D47" s="379">
        <f>+F35</f>
        <v>-22497</v>
      </c>
      <c r="E47" s="11"/>
      <c r="F47" s="11"/>
      <c r="G47" s="25"/>
    </row>
    <row r="48" spans="1:7" x14ac:dyDescent="0.2">
      <c r="D48" s="14">
        <f>+D47+D46</f>
        <v>72634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E29" sqref="E2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4727568</v>
      </c>
      <c r="C36" s="11">
        <f>SUM(C5:C35)</f>
        <v>5114611</v>
      </c>
      <c r="D36" s="11">
        <f>SUM(D5:D35)</f>
        <v>0</v>
      </c>
      <c r="E36" s="11">
        <f>SUM(E5:E35)</f>
        <v>-317677</v>
      </c>
      <c r="F36" s="11">
        <f>SUM(F5:F35)</f>
        <v>69366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37128</v>
      </c>
      <c r="F41" s="353">
        <f>+F39+F36</f>
        <v>74476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37128</v>
      </c>
      <c r="C48" s="32"/>
      <c r="D48" s="32"/>
      <c r="E48" s="408">
        <f>+F36*'by type'!J3</f>
        <v>184513.56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-303257.88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33" sqref="C3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5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5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5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5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5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5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5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5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5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5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5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5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5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5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5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5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5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2349970</v>
      </c>
      <c r="C39" s="11">
        <f>SUM(C8:C38)</f>
        <v>2347138</v>
      </c>
      <c r="D39" s="11">
        <f>SUM(D8:D38)</f>
        <v>-2832</v>
      </c>
      <c r="E39" s="10"/>
      <c r="F39" s="11"/>
      <c r="G39" s="11"/>
      <c r="H39" s="11"/>
    </row>
    <row r="40" spans="1:8" x14ac:dyDescent="0.25">
      <c r="A40" s="26"/>
      <c r="D40" s="75">
        <f>+summary!H4</f>
        <v>2.84</v>
      </c>
      <c r="E40" s="26"/>
      <c r="H40" s="75"/>
    </row>
    <row r="41" spans="1:8" x14ac:dyDescent="0.25">
      <c r="D41" s="197">
        <f>+D40*D39</f>
        <v>-8042.8799999999992</v>
      </c>
      <c r="F41" s="252"/>
      <c r="H41" s="197"/>
    </row>
    <row r="42" spans="1:8" x14ac:dyDescent="0.25">
      <c r="A42" s="57">
        <v>37103</v>
      </c>
      <c r="D42" s="456">
        <v>21602.9</v>
      </c>
      <c r="E42" s="57"/>
      <c r="H42" s="197"/>
    </row>
    <row r="43" spans="1:8" x14ac:dyDescent="0.25">
      <c r="A43" s="57">
        <v>37128</v>
      </c>
      <c r="D43" s="198">
        <f>+D42+D41</f>
        <v>13560.020000000002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157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212">
        <v>-43475</v>
      </c>
    </row>
    <row r="49" spans="1:4" x14ac:dyDescent="0.25">
      <c r="A49" s="49">
        <f>+A43</f>
        <v>37128</v>
      </c>
      <c r="B49" s="32"/>
      <c r="C49" s="32"/>
      <c r="D49" s="379">
        <f>+D39</f>
        <v>-2832</v>
      </c>
    </row>
    <row r="50" spans="1:4" x14ac:dyDescent="0.25">
      <c r="A50" s="32"/>
      <c r="B50" s="32"/>
      <c r="C50" s="32"/>
      <c r="D50" s="14">
        <f>+D49+D48</f>
        <v>-46307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6" workbookViewId="3">
      <selection activeCell="B10" sqref="B10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37128</v>
      </c>
      <c r="J7" s="32"/>
    </row>
    <row r="8" spans="1:10" x14ac:dyDescent="0.25">
      <c r="A8" s="253">
        <v>60874</v>
      </c>
      <c r="B8" s="361">
        <v>4203</v>
      </c>
      <c r="J8" s="32"/>
    </row>
    <row r="9" spans="1:10" x14ac:dyDescent="0.25">
      <c r="A9" s="253">
        <v>78169</v>
      </c>
      <c r="B9" s="361">
        <f>174590-155992</f>
        <v>18598</v>
      </c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>
        <f>3861-5448</f>
        <v>-1587</v>
      </c>
      <c r="J11" s="32"/>
    </row>
    <row r="12" spans="1:10" x14ac:dyDescent="0.25">
      <c r="A12" s="253">
        <v>500251</v>
      </c>
      <c r="B12" s="332">
        <f>15000-13387</f>
        <v>1613</v>
      </c>
      <c r="J12" s="32"/>
    </row>
    <row r="13" spans="1:10" x14ac:dyDescent="0.25">
      <c r="A13" s="253">
        <v>500254</v>
      </c>
      <c r="B13" s="332">
        <f>2250-3047</f>
        <v>-797</v>
      </c>
      <c r="J13" s="32"/>
    </row>
    <row r="14" spans="1:10" x14ac:dyDescent="0.25">
      <c r="A14" s="32">
        <v>500255</v>
      </c>
      <c r="B14" s="332">
        <f>13750-14655</f>
        <v>-905</v>
      </c>
      <c r="E14" s="32">
        <v>4840.7299999999996</v>
      </c>
      <c r="J14" s="32"/>
    </row>
    <row r="15" spans="1:10" x14ac:dyDescent="0.25">
      <c r="A15" s="32">
        <v>500262</v>
      </c>
      <c r="B15" s="332">
        <f>10000-5427</f>
        <v>4573</v>
      </c>
      <c r="E15" s="32">
        <v>67.239999999999995</v>
      </c>
      <c r="J15" s="32"/>
    </row>
    <row r="16" spans="1:10" x14ac:dyDescent="0.25">
      <c r="A16" s="290">
        <v>500267</v>
      </c>
      <c r="B16" s="362">
        <f>1481731-1447824</f>
        <v>33907</v>
      </c>
      <c r="E16" s="32">
        <f>+E14-E15</f>
        <v>4773.49</v>
      </c>
      <c r="J16" s="32"/>
    </row>
    <row r="17" spans="1:10" x14ac:dyDescent="0.25">
      <c r="B17" s="14">
        <f>SUM(B8:B16)</f>
        <v>59605</v>
      </c>
      <c r="J17" s="32"/>
    </row>
    <row r="18" spans="1:10" x14ac:dyDescent="0.25">
      <c r="B18" s="15">
        <f>+B31</f>
        <v>2.84</v>
      </c>
      <c r="C18" s="201">
        <f>+B18*B17</f>
        <v>169278.19999999998</v>
      </c>
      <c r="G18" s="32"/>
      <c r="H18" s="413"/>
      <c r="I18" s="14"/>
      <c r="J18" s="32"/>
    </row>
    <row r="19" spans="1:10" x14ac:dyDescent="0.25">
      <c r="C19" s="339">
        <f>+C18+C5</f>
        <v>1332064.24</v>
      </c>
      <c r="E19" s="15"/>
      <c r="G19" s="32"/>
      <c r="H19" s="413"/>
      <c r="I19" s="14"/>
      <c r="J19" s="32"/>
    </row>
    <row r="20" spans="1:10" x14ac:dyDescent="0.25">
      <c r="E20" s="15"/>
      <c r="G20" s="32"/>
      <c r="H20" s="413"/>
      <c r="I20" s="14"/>
      <c r="J20" s="32"/>
    </row>
    <row r="21" spans="1:10" x14ac:dyDescent="0.25">
      <c r="A21" s="32" t="s">
        <v>89</v>
      </c>
      <c r="G21" s="32"/>
      <c r="H21" s="413"/>
      <c r="I21" s="14"/>
      <c r="J21" s="32"/>
    </row>
    <row r="22" spans="1:10" x14ac:dyDescent="0.25">
      <c r="A22" s="2" t="s">
        <v>76</v>
      </c>
      <c r="G22" s="32"/>
      <c r="H22" s="413"/>
      <c r="I22" s="14"/>
      <c r="J22" s="32"/>
    </row>
    <row r="23" spans="1:10" x14ac:dyDescent="0.25">
      <c r="G23" s="32"/>
      <c r="H23" s="413"/>
      <c r="I23" s="14"/>
      <c r="J23" s="32"/>
    </row>
    <row r="24" spans="1:10" x14ac:dyDescent="0.25">
      <c r="G24" s="32"/>
      <c r="H24" s="413"/>
      <c r="I24" s="14"/>
      <c r="J24" s="32"/>
    </row>
    <row r="25" spans="1:10" x14ac:dyDescent="0.25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37128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2.84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5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5">
      <c r="E38" s="49">
        <f>+A7</f>
        <v>37128</v>
      </c>
      <c r="F38" s="379">
        <f>+B17</f>
        <v>59605</v>
      </c>
      <c r="G38" s="379">
        <f>+B30</f>
        <v>0</v>
      </c>
      <c r="H38" s="379">
        <f>+B45</f>
        <v>7652</v>
      </c>
      <c r="I38" s="14"/>
    </row>
    <row r="39" spans="1:9" x14ac:dyDescent="0.25">
      <c r="A39" s="49">
        <v>37103</v>
      </c>
      <c r="C39" s="454">
        <v>732710.21</v>
      </c>
      <c r="F39" s="14">
        <f>+F38+F37</f>
        <v>282631</v>
      </c>
      <c r="G39" s="14">
        <f>+G38+G37</f>
        <v>117857</v>
      </c>
      <c r="H39" s="14">
        <f>+H38+H37</f>
        <v>146462</v>
      </c>
      <c r="I39" s="14">
        <f>+H39+G39+F39</f>
        <v>546950</v>
      </c>
    </row>
    <row r="40" spans="1:9" x14ac:dyDescent="0.25">
      <c r="G40" s="32"/>
      <c r="H40" s="15"/>
      <c r="I40" s="32"/>
    </row>
    <row r="41" spans="1:9" x14ac:dyDescent="0.25">
      <c r="A41" s="249">
        <v>37128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6187</v>
      </c>
      <c r="G43" s="32"/>
      <c r="H43" s="414"/>
      <c r="I43" s="14"/>
    </row>
    <row r="44" spans="1:9" x14ac:dyDescent="0.25">
      <c r="A44" s="32">
        <v>500392</v>
      </c>
      <c r="B44" s="257">
        <v>1465</v>
      </c>
      <c r="G44" s="32"/>
      <c r="H44" s="414"/>
      <c r="I44" s="14"/>
    </row>
    <row r="45" spans="1:9" x14ac:dyDescent="0.25">
      <c r="B45" s="14">
        <f>SUM(B42:B44)</f>
        <v>7652</v>
      </c>
      <c r="G45" s="32"/>
      <c r="H45" s="414"/>
      <c r="I45" s="14"/>
    </row>
    <row r="46" spans="1:9" x14ac:dyDescent="0.25">
      <c r="B46" s="201">
        <f>+B31</f>
        <v>2.84</v>
      </c>
      <c r="C46" s="201">
        <f>+B46*B45</f>
        <v>21731.68</v>
      </c>
      <c r="H46" s="414"/>
      <c r="I46" s="14"/>
    </row>
    <row r="47" spans="1:9" x14ac:dyDescent="0.25">
      <c r="C47" s="339">
        <f>+C46+C39</f>
        <v>754441.89</v>
      </c>
      <c r="E47" s="206"/>
      <c r="H47" s="414"/>
      <c r="I47" s="14"/>
    </row>
    <row r="48" spans="1:9" x14ac:dyDescent="0.25">
      <c r="E48" s="216"/>
      <c r="H48" s="414"/>
      <c r="I48" s="14"/>
    </row>
    <row r="49" spans="1:9" x14ac:dyDescent="0.25">
      <c r="E49" s="206"/>
      <c r="H49" s="414"/>
      <c r="I49" s="14"/>
    </row>
    <row r="50" spans="1:9" x14ac:dyDescent="0.25">
      <c r="C50" s="324"/>
      <c r="E50" s="216"/>
    </row>
    <row r="51" spans="1:9" x14ac:dyDescent="0.25">
      <c r="A51" s="32" t="s">
        <v>89</v>
      </c>
      <c r="C51" s="254"/>
    </row>
    <row r="52" spans="1:9" x14ac:dyDescent="0.25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5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5">
      <c r="H54" s="415"/>
      <c r="I54" s="16"/>
    </row>
    <row r="55" spans="1:9" x14ac:dyDescent="0.25">
      <c r="C55" s="476"/>
    </row>
    <row r="56" spans="1:9" x14ac:dyDescent="0.25">
      <c r="C56" s="331">
        <f>+C53+C52+C47+C32+C19</f>
        <v>2458881.3600000003</v>
      </c>
      <c r="I56" s="14">
        <f>SUM(I39:I53)</f>
        <v>602285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2" workbookViewId="3">
      <selection activeCell="A41" sqref="A41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5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5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5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5">
      <c r="A26" s="10">
        <v>23</v>
      </c>
      <c r="B26" s="11"/>
      <c r="C26" s="11"/>
      <c r="D26" s="11">
        <v>25784</v>
      </c>
      <c r="E26" s="11">
        <v>24612</v>
      </c>
      <c r="F26" s="11">
        <f t="shared" si="0"/>
        <v>-1172</v>
      </c>
      <c r="I26" s="11"/>
      <c r="J26" s="24"/>
    </row>
    <row r="27" spans="1:10" x14ac:dyDescent="0.25">
      <c r="A27" s="10">
        <v>24</v>
      </c>
      <c r="B27" s="11"/>
      <c r="C27" s="11"/>
      <c r="D27" s="11">
        <v>26042</v>
      </c>
      <c r="E27" s="11">
        <v>24612</v>
      </c>
      <c r="F27" s="11">
        <f t="shared" si="0"/>
        <v>-1430</v>
      </c>
      <c r="I27" s="11"/>
      <c r="J27" s="24"/>
    </row>
    <row r="28" spans="1:10" x14ac:dyDescent="0.25">
      <c r="A28" s="10">
        <v>25</v>
      </c>
      <c r="B28" s="11"/>
      <c r="C28" s="11"/>
      <c r="D28" s="11">
        <v>26050</v>
      </c>
      <c r="E28" s="11">
        <v>24612</v>
      </c>
      <c r="F28" s="11">
        <f t="shared" si="0"/>
        <v>-1438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5">
      <c r="A35" s="10"/>
      <c r="B35" s="11">
        <f>SUM(B4:B34)</f>
        <v>34</v>
      </c>
      <c r="C35" s="11">
        <f>SUM(C4:C34)</f>
        <v>0</v>
      </c>
      <c r="D35" s="11">
        <f>SUM(D4:D34)</f>
        <v>567148</v>
      </c>
      <c r="E35" s="11">
        <f>SUM(E4:E34)</f>
        <v>606893</v>
      </c>
      <c r="F35" s="11">
        <f>SUM(F4:F34)</f>
        <v>39711</v>
      </c>
      <c r="G35" s="11"/>
      <c r="H35" s="49">
        <f>+A40</f>
        <v>37128</v>
      </c>
      <c r="I35" s="379">
        <f>+C36</f>
        <v>-34</v>
      </c>
      <c r="J35" s="379">
        <f>+E36</f>
        <v>39745</v>
      </c>
      <c r="K35" s="208"/>
      <c r="L35" s="14"/>
    </row>
    <row r="36" spans="1:13" x14ac:dyDescent="0.25">
      <c r="C36" s="25">
        <f>+C35-B35</f>
        <v>-34</v>
      </c>
      <c r="E36" s="25">
        <f>+E35-D35</f>
        <v>39745</v>
      </c>
      <c r="F36" s="25">
        <f>+E36+C36</f>
        <v>39711</v>
      </c>
      <c r="H36" s="32"/>
      <c r="I36" s="14">
        <f>+I35+I34</f>
        <v>-178519</v>
      </c>
      <c r="J36" s="14">
        <f>+J35+J34</f>
        <v>-40787</v>
      </c>
      <c r="K36" s="14">
        <f>+J36+I36</f>
        <v>-219306</v>
      </c>
      <c r="L36" s="14"/>
    </row>
    <row r="37" spans="1:13" x14ac:dyDescent="0.25">
      <c r="C37" s="329">
        <f>+summary!H5</f>
        <v>2.93</v>
      </c>
      <c r="E37" s="104">
        <f>+C37</f>
        <v>2.93</v>
      </c>
      <c r="F37" s="138">
        <f>+F36*E37</f>
        <v>116353.23000000001</v>
      </c>
    </row>
    <row r="38" spans="1:13" x14ac:dyDescent="0.25">
      <c r="C38" s="138">
        <f>+C37*C36</f>
        <v>-99.62</v>
      </c>
      <c r="E38" s="136">
        <f>+E37*E36</f>
        <v>116452.85</v>
      </c>
      <c r="F38" s="138">
        <f>+E38+C38</f>
        <v>116353.23000000001</v>
      </c>
    </row>
    <row r="39" spans="1:13" x14ac:dyDescent="0.25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5">
      <c r="A40" s="57">
        <v>37128</v>
      </c>
      <c r="B40" s="2" t="s">
        <v>46</v>
      </c>
      <c r="C40" s="330">
        <f>+C39+C38</f>
        <v>-1023265.62</v>
      </c>
      <c r="D40" s="259"/>
      <c r="E40" s="330">
        <f>+E39+E38</f>
        <v>-379590.49</v>
      </c>
      <c r="F40" s="330">
        <f>+E40+C40</f>
        <v>-1402856.1099999999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115</v>
      </c>
    </row>
    <row r="44" spans="1:13" x14ac:dyDescent="0.25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5">
      <c r="C49" s="250"/>
      <c r="D49" s="250"/>
      <c r="F49" s="349">
        <f>SUM(F40:F48)</f>
        <v>-2169628.88</v>
      </c>
      <c r="G49" s="250"/>
      <c r="K49" s="14">
        <f>SUM(K36:K48)</f>
        <v>-160495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143</v>
      </c>
      <c r="F51" s="138">
        <f>+Duke!C56</f>
        <v>2458881.3600000003</v>
      </c>
      <c r="M51" s="14">
        <f>+Duke!I56</f>
        <v>602285</v>
      </c>
    </row>
    <row r="53" spans="3:13" x14ac:dyDescent="0.25">
      <c r="F53" s="104">
        <f>+F51+F49</f>
        <v>289252.48000000045</v>
      </c>
      <c r="M53" s="16">
        <f>+M51+K49</f>
        <v>441790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33" sqref="G33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171133</v>
      </c>
      <c r="C39" s="11">
        <f t="shared" si="1"/>
        <v>156257</v>
      </c>
      <c r="D39" s="11">
        <f t="shared" si="1"/>
        <v>0</v>
      </c>
      <c r="E39" s="11">
        <f t="shared" si="1"/>
        <v>0</v>
      </c>
      <c r="F39" s="11">
        <f t="shared" si="1"/>
        <v>26055</v>
      </c>
      <c r="G39" s="11">
        <f t="shared" si="1"/>
        <v>28750</v>
      </c>
      <c r="H39" s="11">
        <f t="shared" si="1"/>
        <v>35255</v>
      </c>
      <c r="I39" s="11">
        <f t="shared" si="1"/>
        <v>32075</v>
      </c>
      <c r="J39" s="25">
        <f t="shared" si="1"/>
        <v>-15361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2.84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-43625.24</v>
      </c>
      <c r="L41"/>
      <c r="R41" s="138"/>
      <c r="X41" s="138"/>
    </row>
    <row r="42" spans="1:24" x14ac:dyDescent="0.25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37128</v>
      </c>
      <c r="C43" s="48"/>
      <c r="J43" s="138">
        <f>+J42+J41</f>
        <v>329216.64000000001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157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212">
        <v>146405</v>
      </c>
      <c r="L47"/>
    </row>
    <row r="48" spans="1:24" x14ac:dyDescent="0.25">
      <c r="A48" s="49">
        <f>+A43</f>
        <v>37128</v>
      </c>
      <c r="B48" s="32"/>
      <c r="C48" s="32"/>
      <c r="D48" s="379">
        <f>+J39</f>
        <v>-15361</v>
      </c>
      <c r="L48"/>
    </row>
    <row r="49" spans="1:12" x14ac:dyDescent="0.25">
      <c r="A49" s="32"/>
      <c r="B49" s="32"/>
      <c r="C49" s="32"/>
      <c r="D49" s="14">
        <f>+D48+D47</f>
        <v>131044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3" sqref="D33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>
        <v>12102</v>
      </c>
      <c r="C30" s="11">
        <v>11494</v>
      </c>
      <c r="D30" s="11">
        <v>-81</v>
      </c>
      <c r="E30" s="11"/>
      <c r="F30" s="25">
        <f t="shared" si="0"/>
        <v>-527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>
        <v>12098</v>
      </c>
      <c r="C31" s="11">
        <v>11494</v>
      </c>
      <c r="D31" s="11">
        <v>-121</v>
      </c>
      <c r="E31" s="11"/>
      <c r="F31" s="25">
        <f t="shared" si="0"/>
        <v>-483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>
        <v>12322</v>
      </c>
      <c r="C32" s="11">
        <v>11494</v>
      </c>
      <c r="D32" s="11">
        <v>-47</v>
      </c>
      <c r="E32" s="11"/>
      <c r="F32" s="25">
        <f t="shared" si="0"/>
        <v>-781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295331</v>
      </c>
      <c r="C39" s="11">
        <f>SUM(C8:C38)</f>
        <v>287498</v>
      </c>
      <c r="D39" s="11">
        <f>SUM(D8:D38)</f>
        <v>-821</v>
      </c>
      <c r="E39" s="11">
        <f>SUM(E8:E38)</f>
        <v>0</v>
      </c>
      <c r="F39" s="11">
        <f>SUM(F8:F38)</f>
        <v>-7012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2.84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-19914.079999999998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37128</v>
      </c>
      <c r="C43" s="48"/>
      <c r="D43" s="48"/>
      <c r="E43" s="48"/>
      <c r="F43" s="110">
        <f>+F42+F41</f>
        <v>422262.44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157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212">
        <v>-235778</v>
      </c>
      <c r="E47" s="11"/>
    </row>
    <row r="48" spans="1:26" x14ac:dyDescent="0.25">
      <c r="A48" s="49">
        <f>+A43</f>
        <v>37128</v>
      </c>
      <c r="B48" s="32"/>
      <c r="C48" s="32"/>
      <c r="D48" s="379">
        <f>+F39</f>
        <v>-7012</v>
      </c>
      <c r="E48" s="11"/>
    </row>
    <row r="49" spans="1:5" x14ac:dyDescent="0.25">
      <c r="A49" s="32"/>
      <c r="B49" s="32"/>
      <c r="C49" s="32"/>
      <c r="D49" s="14">
        <f>+D48+D47</f>
        <v>-242790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workbookViewId="3">
      <selection activeCell="E17" sqref="E17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5">
      <c r="G3" s="299" t="s">
        <v>30</v>
      </c>
      <c r="H3" s="372">
        <f>+'[1]0701'!$K$39</f>
        <v>2.66</v>
      </c>
      <c r="I3" s="407">
        <f ca="1">NOW()</f>
        <v>37130.462157060188</v>
      </c>
    </row>
    <row r="4" spans="1:32" ht="15" customHeight="1" x14ac:dyDescent="0.25">
      <c r="A4" s="34" t="s">
        <v>152</v>
      </c>
      <c r="C4" s="34" t="s">
        <v>5</v>
      </c>
      <c r="G4" s="300" t="s">
        <v>31</v>
      </c>
      <c r="H4" s="301">
        <f>+'[1]0701'!$M$39</f>
        <v>2.84</v>
      </c>
    </row>
    <row r="5" spans="1:32" ht="15" customHeight="1" x14ac:dyDescent="0.25">
      <c r="B5" s="367"/>
      <c r="G5" s="299" t="s">
        <v>120</v>
      </c>
      <c r="H5" s="372">
        <f>+'[1]0701'!$H$39</f>
        <v>2.93</v>
      </c>
    </row>
    <row r="6" spans="1:32" ht="9.9" customHeight="1" x14ac:dyDescent="0.25"/>
    <row r="7" spans="1:32" ht="15" customHeight="1" x14ac:dyDescent="0.25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5">
      <c r="A8" s="374" t="s">
        <v>29</v>
      </c>
      <c r="B8" s="375">
        <f>+C8*$H$3</f>
        <v>784218.54</v>
      </c>
      <c r="C8" s="285">
        <f>+williams!J40</f>
        <v>294819</v>
      </c>
      <c r="D8" s="397">
        <f>+williams!A40</f>
        <v>37128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83</v>
      </c>
      <c r="B9" s="375">
        <f>+Conoco!$F$41</f>
        <v>548786.79</v>
      </c>
      <c r="C9" s="285">
        <f t="shared" ref="C9:C17" si="0">+B9/$H$4</f>
        <v>193234.78521126762</v>
      </c>
      <c r="D9" s="397">
        <f>+Conoco!A41</f>
        <v>37128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374" t="s">
        <v>33</v>
      </c>
      <c r="B10" s="375">
        <f>+C10*$H$4</f>
        <v>523954.44</v>
      </c>
      <c r="C10" s="208">
        <f>+SoCal!F40</f>
        <v>184491</v>
      </c>
      <c r="D10" s="397">
        <f>+SoCal!A40</f>
        <v>37128</v>
      </c>
      <c r="E10" s="206" t="s">
        <v>87</v>
      </c>
      <c r="F10" s="206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154</v>
      </c>
      <c r="B11" s="375">
        <f>+PGETX!$H$39</f>
        <v>485265.05</v>
      </c>
      <c r="C11" s="285">
        <f t="shared" si="0"/>
        <v>170867.97535211267</v>
      </c>
      <c r="D11" s="398">
        <f>+PGETX!E39</f>
        <v>37128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110</v>
      </c>
      <c r="B12" s="375">
        <f>+KN_Westar!F41</f>
        <v>445767.91</v>
      </c>
      <c r="C12" s="285">
        <f t="shared" si="0"/>
        <v>156960.53169014084</v>
      </c>
      <c r="D12" s="398">
        <f>+KN_Westar!A41</f>
        <v>37128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113</v>
      </c>
      <c r="B13" s="375">
        <f>+CIG!$D$43</f>
        <v>427495.48</v>
      </c>
      <c r="C13" s="285">
        <f t="shared" si="0"/>
        <v>150526.57746478874</v>
      </c>
      <c r="D13" s="398">
        <f>+CIG!A43</f>
        <v>37125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97</v>
      </c>
      <c r="B14" s="375">
        <f>+C14*$H$4</f>
        <v>426355</v>
      </c>
      <c r="C14" s="285">
        <f>+Mojave!D40</f>
        <v>150125</v>
      </c>
      <c r="D14" s="398">
        <f>+Mojave!A40</f>
        <v>37128</v>
      </c>
      <c r="E14" s="32" t="s">
        <v>87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3</v>
      </c>
      <c r="B15" s="375">
        <f>+'Amoco Abo'!$F$43</f>
        <v>422262.44</v>
      </c>
      <c r="C15" s="285">
        <f t="shared" si="0"/>
        <v>148683.95774647887</v>
      </c>
      <c r="D15" s="398">
        <f>+'Amoco Abo'!A43</f>
        <v>37128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253" t="s">
        <v>91</v>
      </c>
      <c r="B16" s="375">
        <f>+C16*$H$4</f>
        <v>385132.39999999997</v>
      </c>
      <c r="C16" s="285">
        <f>+NGPL!F38</f>
        <v>135610</v>
      </c>
      <c r="D16" s="398">
        <f>+NGPL!A38</f>
        <v>37128</v>
      </c>
      <c r="E16" s="32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374" t="s">
        <v>90</v>
      </c>
      <c r="B17" s="375">
        <f>+NNG!$D$24</f>
        <v>376371.49</v>
      </c>
      <c r="C17" s="285">
        <f t="shared" si="0"/>
        <v>132525.17253521128</v>
      </c>
      <c r="D17" s="397">
        <f>+NNG!A24</f>
        <v>37128</v>
      </c>
      <c r="E17" s="206" t="s">
        <v>88</v>
      </c>
      <c r="F17" s="206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3" t="s">
        <v>24</v>
      </c>
      <c r="B18" s="458">
        <f>+C18*$H$3</f>
        <v>365997.38</v>
      </c>
      <c r="C18" s="377">
        <f>+'Red C'!F43</f>
        <v>137593</v>
      </c>
      <c r="D18" s="397">
        <f>+'Red C'!B43</f>
        <v>37128</v>
      </c>
      <c r="E18" s="206" t="s">
        <v>87</v>
      </c>
      <c r="F18" s="32" t="s">
        <v>118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3" t="s">
        <v>2</v>
      </c>
      <c r="B19" s="375">
        <f>+mewborne!$J$43</f>
        <v>329216.64000000001</v>
      </c>
      <c r="C19" s="285">
        <f>+B19/$H$4</f>
        <v>115921.35211267606</v>
      </c>
      <c r="D19" s="398">
        <f>+mewborne!A43</f>
        <v>37128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131</v>
      </c>
      <c r="B20" s="375">
        <f>+DEFS!F53</f>
        <v>289252.48000000045</v>
      </c>
      <c r="C20" s="208">
        <f>+B20/$H$4</f>
        <v>101849.46478873256</v>
      </c>
      <c r="D20" s="398">
        <f>+DEFS!A40</f>
        <v>37128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6</v>
      </c>
      <c r="B21" s="375">
        <f>+C21*$H$3</f>
        <v>264310.90000000002</v>
      </c>
      <c r="C21" s="285">
        <f>+Amoco!D40</f>
        <v>99365</v>
      </c>
      <c r="D21" s="398">
        <f>+Amoco!A40</f>
        <v>37128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1</v>
      </c>
      <c r="B22" s="375">
        <f>+C22*$H$3</f>
        <v>198106.16</v>
      </c>
      <c r="C22" s="208">
        <f>+NW!$F$41</f>
        <v>74476</v>
      </c>
      <c r="D22" s="397">
        <f>+NW!B41</f>
        <v>37128</v>
      </c>
      <c r="E22" s="32" t="s">
        <v>87</v>
      </c>
      <c r="F22" s="32" t="s">
        <v>118</v>
      </c>
      <c r="G22" s="38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3" t="s">
        <v>32</v>
      </c>
      <c r="B23" s="375">
        <f>+C23*$H$4</f>
        <v>191694.31999999998</v>
      </c>
      <c r="C23" s="285">
        <f>+Lonestar!F42</f>
        <v>67498</v>
      </c>
      <c r="D23" s="397">
        <f>+Lonestar!B42</f>
        <v>37128</v>
      </c>
      <c r="E23" s="32" t="s">
        <v>87</v>
      </c>
      <c r="F23" s="32" t="s">
        <v>105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148</v>
      </c>
      <c r="B24" s="376">
        <f>+C24*$H$4</f>
        <v>183151.59999999998</v>
      </c>
      <c r="C24" s="377">
        <f>+PEPL!D41</f>
        <v>64490</v>
      </c>
      <c r="D24" s="398">
        <f>+PEPL!A41</f>
        <v>37128</v>
      </c>
      <c r="E24" s="32" t="s">
        <v>87</v>
      </c>
      <c r="F24" s="32" t="s">
        <v>103</v>
      </c>
      <c r="G24" s="32" t="s">
        <v>147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85</v>
      </c>
      <c r="B25" s="375">
        <f>+PNM!$D$23</f>
        <v>139898.86999999997</v>
      </c>
      <c r="C25" s="285">
        <f>+B25/$H$4</f>
        <v>49260.165492957734</v>
      </c>
      <c r="D25" s="398">
        <f>+PNM!A23</f>
        <v>37128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3" t="s">
        <v>7</v>
      </c>
      <c r="B26" s="375">
        <f>+C26*$H$4</f>
        <v>121557.68</v>
      </c>
      <c r="C26" s="208">
        <f>+Oasis!D40</f>
        <v>42802</v>
      </c>
      <c r="D26" s="398">
        <f>+Oasis!B40</f>
        <v>37128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117</v>
      </c>
      <c r="B27" s="375">
        <f>+C27*$H$4</f>
        <v>112285.07999999999</v>
      </c>
      <c r="C27" s="208">
        <f>+'PG&amp;E'!D40</f>
        <v>39537</v>
      </c>
      <c r="D27" s="398">
        <f>+'PG&amp;E'!A40</f>
        <v>37128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374" t="s">
        <v>132</v>
      </c>
      <c r="B28" s="375">
        <f>+Calpine!D41</f>
        <v>84719.44</v>
      </c>
      <c r="C28" s="208">
        <f>+B28/$H$4</f>
        <v>29830.788732394369</v>
      </c>
      <c r="D28" s="397">
        <f>+Calpine!A41</f>
        <v>37128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3" t="s">
        <v>106</v>
      </c>
      <c r="B29" s="375">
        <f>+EOG!J41</f>
        <v>83993.16</v>
      </c>
      <c r="C29" s="285">
        <f>+B29/$H$4</f>
        <v>29575.056338028171</v>
      </c>
      <c r="D29" s="397">
        <f>+EOG!A41</f>
        <v>37128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374" t="s">
        <v>74</v>
      </c>
      <c r="B30" s="376">
        <f>+transcol!$D$43</f>
        <v>13560.020000000002</v>
      </c>
      <c r="C30" s="377">
        <f>+B30/$H$4</f>
        <v>4774.6549295774657</v>
      </c>
      <c r="D30" s="397">
        <f>+transcol!A43</f>
        <v>37128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5">
      <c r="A31" s="253" t="s">
        <v>136</v>
      </c>
      <c r="B31" s="375">
        <f>+SidR!D41</f>
        <v>10093.85</v>
      </c>
      <c r="C31" s="285">
        <f>+B31/$H$4</f>
        <v>3554.172535211268</v>
      </c>
      <c r="D31" s="398">
        <f>+SidR!A41</f>
        <v>37128</v>
      </c>
      <c r="E31" s="32" t="s">
        <v>88</v>
      </c>
      <c r="F31" s="32" t="s">
        <v>105</v>
      </c>
      <c r="G31" s="32" t="s">
        <v>168</v>
      </c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253" t="s">
        <v>34</v>
      </c>
      <c r="B32" s="375">
        <f>+'El Paso'!C39*summary!H4+'El Paso'!E39*summary!H3</f>
        <v>4762.4199999999837</v>
      </c>
      <c r="C32" s="285">
        <f>+'El Paso'!H39</f>
        <v>-2551</v>
      </c>
      <c r="D32" s="398">
        <f>+'El Paso'!A39</f>
        <v>37128</v>
      </c>
      <c r="E32" s="32" t="s">
        <v>87</v>
      </c>
      <c r="F32" s="32" t="s">
        <v>103</v>
      </c>
      <c r="G32" s="32" t="s">
        <v>122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374" t="s">
        <v>98</v>
      </c>
      <c r="B33" s="378">
        <f>+burlington!D42</f>
        <v>4218.260000000002</v>
      </c>
      <c r="C33" s="71">
        <f>+B33/$H$3</f>
        <v>1585.8120300751887</v>
      </c>
      <c r="D33" s="397">
        <f>+burlington!A42</f>
        <v>37128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5">
      <c r="A34" s="32" t="s">
        <v>99</v>
      </c>
      <c r="B34" s="47">
        <f>SUM(B8:B33)</f>
        <v>7222427.7999999998</v>
      </c>
      <c r="C34" s="69">
        <f>SUM(C8:C33)</f>
        <v>2577405.4669596534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374" t="s">
        <v>140</v>
      </c>
      <c r="B37" s="375">
        <f>+Citizens!D18</f>
        <v>-788646.42</v>
      </c>
      <c r="C37" s="208">
        <f>+B37/$H$4</f>
        <v>-277692.40140845074</v>
      </c>
      <c r="D37" s="397">
        <f>+Citizens!A18</f>
        <v>37128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138</v>
      </c>
      <c r="B38" s="375">
        <f>+'NS Steel'!D41</f>
        <v>-438817.94</v>
      </c>
      <c r="C38" s="208">
        <f>+B38/$H$4</f>
        <v>-154513.35915492958</v>
      </c>
      <c r="D38" s="398">
        <f>+'NS Steel'!A41</f>
        <v>37128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3" t="s">
        <v>144</v>
      </c>
      <c r="B39" s="375">
        <f>+'Citizens-Griffith'!D41</f>
        <v>-211612.72</v>
      </c>
      <c r="C39" s="285">
        <f>+B39/$H$4</f>
        <v>-74511.521126760563</v>
      </c>
      <c r="D39" s="397">
        <f>+'Citizens-Griffith'!A41</f>
        <v>37128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374" t="s">
        <v>82</v>
      </c>
      <c r="B40" s="375">
        <f>+Agave!$D$24</f>
        <v>-179023.67</v>
      </c>
      <c r="C40" s="208">
        <f>+B40/$H$4</f>
        <v>-63036.503521126768</v>
      </c>
      <c r="D40" s="397">
        <f>+Agave!A24</f>
        <v>37128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53" t="s">
        <v>134</v>
      </c>
      <c r="B41" s="375">
        <f>+EPFS!D41</f>
        <v>-133506.75</v>
      </c>
      <c r="C41" s="208">
        <f>+B41/$H$5</f>
        <v>-45565.443686006824</v>
      </c>
      <c r="D41" s="397">
        <f>+EPFS!A41</f>
        <v>37128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53" t="s">
        <v>112</v>
      </c>
      <c r="B42" s="378">
        <f>+Continental!F43</f>
        <v>-5216.57</v>
      </c>
      <c r="C42" s="379">
        <f>+B42/$H$4</f>
        <v>-1836.8204225352113</v>
      </c>
      <c r="D42" s="398">
        <f>+Continental!A43</f>
        <v>37128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5">
        <f>SUM(B37:B42)</f>
        <v>-1756824.07</v>
      </c>
      <c r="C43" s="208">
        <f>SUM(C37:C42)</f>
        <v>-617156.04931980965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3">
        <f>+B43+B34</f>
        <v>5465603.7299999995</v>
      </c>
      <c r="C45" s="384">
        <f>+C43+C34</f>
        <v>1960249.4176398437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10" workbookViewId="3">
      <selection activeCell="B10" sqref="B10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-678695</v>
      </c>
      <c r="C7" s="80">
        <v>-335131</v>
      </c>
      <c r="D7" s="80">
        <f t="shared" si="0"/>
        <v>343564</v>
      </c>
    </row>
    <row r="8" spans="1:8" x14ac:dyDescent="0.2">
      <c r="A8" s="32">
        <v>60667</v>
      </c>
      <c r="B8" s="323">
        <v>-434275</v>
      </c>
      <c r="C8" s="80"/>
      <c r="D8" s="80">
        <f t="shared" si="0"/>
        <v>434275</v>
      </c>
      <c r="H8" s="254"/>
    </row>
    <row r="9" spans="1:8" x14ac:dyDescent="0.2">
      <c r="A9" s="32">
        <v>60749</v>
      </c>
      <c r="B9" s="323">
        <v>1029774</v>
      </c>
      <c r="C9" s="80">
        <v>109619</v>
      </c>
      <c r="D9" s="80">
        <f t="shared" si="0"/>
        <v>-920155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-115376</v>
      </c>
    </row>
    <row r="19" spans="1:5" x14ac:dyDescent="0.2">
      <c r="A19" s="32" t="s">
        <v>84</v>
      </c>
      <c r="B19" s="69"/>
      <c r="C19" s="69"/>
      <c r="D19" s="73">
        <f>+summary!H4</f>
        <v>2.84</v>
      </c>
    </row>
    <row r="20" spans="1:5" x14ac:dyDescent="0.2">
      <c r="B20" s="69"/>
      <c r="C20" s="69"/>
      <c r="D20" s="75">
        <f>+D19*D18</f>
        <v>-327667.83999999997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37128</v>
      </c>
      <c r="B24" s="69"/>
      <c r="C24" s="69"/>
      <c r="D24" s="351">
        <f>+D22+D20</f>
        <v>376371.49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37128</v>
      </c>
      <c r="D33" s="379">
        <f>+D18</f>
        <v>-115376</v>
      </c>
    </row>
    <row r="34" spans="1:4" x14ac:dyDescent="0.2">
      <c r="D34" s="14">
        <f>+D33+D32</f>
        <v>-35340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4" sqref="B1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4">
        <v>-52274</v>
      </c>
      <c r="C5" s="90">
        <v>-29280</v>
      </c>
      <c r="D5" s="90">
        <f t="shared" ref="D5:D13" si="0">+C5-B5</f>
        <v>22994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-2816598</v>
      </c>
      <c r="C7" s="90">
        <v>-2900805</v>
      </c>
      <c r="D7" s="90">
        <f t="shared" si="0"/>
        <v>-84207</v>
      </c>
      <c r="E7" s="285"/>
      <c r="F7" s="70"/>
    </row>
    <row r="8" spans="1:13" x14ac:dyDescent="0.25">
      <c r="A8" s="87">
        <v>58710</v>
      </c>
      <c r="B8" s="364">
        <v>-22709</v>
      </c>
      <c r="C8" s="90">
        <v>-1093</v>
      </c>
      <c r="D8" s="90">
        <f t="shared" si="0"/>
        <v>21616</v>
      </c>
      <c r="E8" s="285"/>
      <c r="F8" s="70"/>
    </row>
    <row r="9" spans="1:13" x14ac:dyDescent="0.25">
      <c r="A9" s="87">
        <v>60921</v>
      </c>
      <c r="B9" s="319">
        <v>2483519</v>
      </c>
      <c r="C9" s="90">
        <v>2414565</v>
      </c>
      <c r="D9" s="90">
        <f t="shared" si="0"/>
        <v>-68954</v>
      </c>
      <c r="E9" s="285"/>
      <c r="F9" s="70"/>
    </row>
    <row r="10" spans="1:13" x14ac:dyDescent="0.25">
      <c r="A10" s="87">
        <v>78026</v>
      </c>
      <c r="B10" s="364"/>
      <c r="C10" s="90">
        <v>59600</v>
      </c>
      <c r="D10" s="90">
        <f t="shared" si="0"/>
        <v>59600</v>
      </c>
      <c r="E10" s="285"/>
      <c r="F10" s="283"/>
    </row>
    <row r="11" spans="1:13" x14ac:dyDescent="0.25">
      <c r="A11" s="87">
        <v>500084</v>
      </c>
      <c r="B11" s="364">
        <v>-18603</v>
      </c>
      <c r="C11" s="90">
        <v>-25000</v>
      </c>
      <c r="D11" s="90">
        <f t="shared" si="0"/>
        <v>-6397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-108</v>
      </c>
      <c r="C13" s="90"/>
      <c r="D13" s="90">
        <f t="shared" si="0"/>
        <v>108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-55240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2.84</v>
      </c>
      <c r="E18" s="287"/>
      <c r="F18" s="283"/>
    </row>
    <row r="19" spans="1:7" x14ac:dyDescent="0.25">
      <c r="A19" s="87"/>
      <c r="B19" s="88"/>
      <c r="C19" s="88"/>
      <c r="D19" s="96">
        <f>+D18*D17</f>
        <v>-156881.60000000001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37128</v>
      </c>
      <c r="B23" s="88"/>
      <c r="C23" s="88"/>
      <c r="D23" s="334">
        <f>+D21+D19</f>
        <v>139898.86999999997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157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212">
        <v>67620</v>
      </c>
    </row>
    <row r="29" spans="1:7" x14ac:dyDescent="0.25">
      <c r="A29" s="49">
        <v>37114</v>
      </c>
      <c r="B29" s="32"/>
      <c r="C29" s="32"/>
      <c r="D29" s="379">
        <f>+D17</f>
        <v>-55240</v>
      </c>
    </row>
    <row r="30" spans="1:7" x14ac:dyDescent="0.25">
      <c r="A30" s="32"/>
      <c r="B30" s="32"/>
      <c r="C30" s="32"/>
      <c r="D30" s="14">
        <f>+D29+D28</f>
        <v>12380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33" workbookViewId="3">
      <selection activeCell="C55" sqref="C55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5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5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5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5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5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5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5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5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5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5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5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5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5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5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5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5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5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5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5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5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5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1111938</v>
      </c>
      <c r="C34" s="297">
        <f>SUM(C3:C33)</f>
        <v>1096041</v>
      </c>
      <c r="D34" s="14">
        <f>SUM(D3:D33)</f>
        <v>-965</v>
      </c>
      <c r="E34" s="14">
        <f>SUM(E3:E33)</f>
        <v>0</v>
      </c>
      <c r="F34" s="14">
        <f>SUM(F3:F33)</f>
        <v>-14932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5">
      <c r="A38" s="263">
        <v>37128</v>
      </c>
      <c r="B38" s="14"/>
      <c r="C38" s="14"/>
      <c r="D38" s="14"/>
      <c r="E38" s="14"/>
      <c r="F38" s="150">
        <f>+F37+F34</f>
        <v>135610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158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5">
      <c r="A44" s="49">
        <f>+A38</f>
        <v>37128</v>
      </c>
      <c r="B44" s="32"/>
      <c r="C44" s="32"/>
      <c r="D44" s="408">
        <f>+F34*'by type'!J4</f>
        <v>-42406.879999999997</v>
      </c>
      <c r="F44" s="304"/>
    </row>
    <row r="45" spans="1:6" x14ac:dyDescent="0.25">
      <c r="A45" s="32"/>
      <c r="B45" s="32"/>
      <c r="C45" s="32"/>
      <c r="D45" s="202">
        <f>+D44+D43</f>
        <v>343345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25" sqref="C25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5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5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5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5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5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5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5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5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5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5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5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5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5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5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5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5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5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-531502</v>
      </c>
      <c r="C35" s="11">
        <f>SUM(C4:C34)</f>
        <v>-517180</v>
      </c>
      <c r="D35" s="11">
        <f>SUM(D4:D34)</f>
        <v>14322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247">
        <v>135803</v>
      </c>
    </row>
    <row r="39" spans="1:4" x14ac:dyDescent="0.25">
      <c r="A39" s="2"/>
      <c r="D39" s="24"/>
    </row>
    <row r="40" spans="1:4" x14ac:dyDescent="0.25">
      <c r="A40" s="57">
        <v>37128</v>
      </c>
      <c r="D40" s="51">
        <f>+D38+D35</f>
        <v>150125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37128</v>
      </c>
      <c r="B46" s="32"/>
      <c r="C46" s="32"/>
      <c r="D46" s="408">
        <f>+D35*'by type'!J4</f>
        <v>40674.479999999996</v>
      </c>
    </row>
    <row r="47" spans="1:4" x14ac:dyDescent="0.25">
      <c r="A47" s="32"/>
      <c r="B47" s="32"/>
      <c r="C47" s="32"/>
      <c r="D47" s="202">
        <f>+D46+D45</f>
        <v>122814.48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25" sqref="E2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578353</v>
      </c>
      <c r="C35" s="11">
        <f t="shared" ref="C35:I35" si="1">SUM(C4:C34)</f>
        <v>577719</v>
      </c>
      <c r="D35" s="11">
        <f t="shared" si="1"/>
        <v>225595</v>
      </c>
      <c r="E35" s="11">
        <f t="shared" si="1"/>
        <v>202844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-23276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2.84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-66103.839999999997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37128</v>
      </c>
      <c r="J41" s="337">
        <f>+J39+J37</f>
        <v>83993.16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37128</v>
      </c>
      <c r="B47" s="32"/>
      <c r="C47" s="32"/>
      <c r="D47" s="379">
        <f>+J35</f>
        <v>-23276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-83298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6" workbookViewId="3">
      <selection activeCell="C31" sqref="C3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-60976</v>
      </c>
      <c r="C30" s="24">
        <v>-61097</v>
      </c>
      <c r="D30" s="24"/>
      <c r="E30" s="24"/>
      <c r="F30" s="24">
        <f t="shared" si="0"/>
        <v>-121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-1922829</v>
      </c>
      <c r="C37" s="24">
        <f>SUM(C6:C36)</f>
        <v>-1931023</v>
      </c>
      <c r="D37" s="24">
        <f>SUM(D6:D36)</f>
        <v>-46652</v>
      </c>
      <c r="E37" s="24">
        <f>SUM(E6:E36)</f>
        <v>-46908</v>
      </c>
      <c r="F37" s="24">
        <f>SUM(F6:F36)</f>
        <v>-8450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-23998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37128</v>
      </c>
      <c r="E41" s="14"/>
      <c r="F41" s="104">
        <f>+F40+F39</f>
        <v>445767.91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37128</v>
      </c>
      <c r="B47" s="32"/>
      <c r="C47" s="32"/>
      <c r="D47" s="379">
        <f>+F37</f>
        <v>-8450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20577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2.84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59">
        <v>-5216.57</v>
      </c>
    </row>
    <row r="43" spans="1:6" x14ac:dyDescent="0.25">
      <c r="A43" s="57">
        <v>37128</v>
      </c>
      <c r="C43" s="48"/>
      <c r="F43" s="138">
        <f>+F42+F41</f>
        <v>-5216.57</v>
      </c>
    </row>
    <row r="47" spans="1:6" x14ac:dyDescent="0.25">
      <c r="A47" s="32" t="s">
        <v>157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212">
        <v>-17302</v>
      </c>
    </row>
    <row r="49" spans="1:4" x14ac:dyDescent="0.25">
      <c r="A49" s="49">
        <f>+A43</f>
        <v>37128</v>
      </c>
      <c r="B49" s="32"/>
      <c r="C49" s="32"/>
      <c r="D49" s="379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B27" sqref="B27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5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5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5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5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5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5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5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5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5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5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5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5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5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5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5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5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5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5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5">
      <c r="A40" s="26"/>
      <c r="C40" s="14"/>
      <c r="D40" s="260">
        <f>+summary!H4</f>
        <v>2.84</v>
      </c>
    </row>
    <row r="41" spans="1:4" x14ac:dyDescent="0.25">
      <c r="D41" s="138">
        <f>+D40*D39</f>
        <v>100740.48</v>
      </c>
    </row>
    <row r="42" spans="1:4" x14ac:dyDescent="0.25">
      <c r="A42" s="57">
        <v>37103</v>
      </c>
      <c r="C42" s="15"/>
      <c r="D42" s="368">
        <v>326755</v>
      </c>
    </row>
    <row r="43" spans="1:4" x14ac:dyDescent="0.25">
      <c r="A43" s="57">
        <v>37125</v>
      </c>
      <c r="C43" s="48"/>
      <c r="D43" s="138">
        <f>+D42+D41</f>
        <v>427495.48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37125</v>
      </c>
      <c r="B48" s="32"/>
      <c r="C48" s="32"/>
      <c r="D48" s="379">
        <f>+D39</f>
        <v>35472</v>
      </c>
    </row>
    <row r="49" spans="1:4" x14ac:dyDescent="0.25">
      <c r="A49" s="32"/>
      <c r="B49" s="32"/>
      <c r="C49" s="32"/>
      <c r="D49" s="14">
        <f>+D48+D47</f>
        <v>41761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1" sqref="C31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5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5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5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5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5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5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5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5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5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5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5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5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5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5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5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5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5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5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5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5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-1645563</v>
      </c>
      <c r="C37" s="11">
        <f>SUM(C6:C36)</f>
        <v>-1623386</v>
      </c>
      <c r="D37" s="25">
        <f>SUM(D6:D36)</f>
        <v>22177</v>
      </c>
    </row>
    <row r="38" spans="1:4" x14ac:dyDescent="0.25">
      <c r="A38" s="26"/>
      <c r="C38" s="14"/>
      <c r="D38" s="345">
        <f>+summary!H4</f>
        <v>2.84</v>
      </c>
    </row>
    <row r="39" spans="1:4" x14ac:dyDescent="0.25">
      <c r="D39" s="138">
        <f>+D38*D37</f>
        <v>62982.68</v>
      </c>
    </row>
    <row r="40" spans="1:4" x14ac:dyDescent="0.25">
      <c r="A40" s="57">
        <v>37103</v>
      </c>
      <c r="C40" s="15"/>
      <c r="D40" s="457">
        <v>21736.76</v>
      </c>
    </row>
    <row r="41" spans="1:4" x14ac:dyDescent="0.25">
      <c r="A41" s="57">
        <v>37128</v>
      </c>
      <c r="C41" s="48"/>
      <c r="D41" s="138">
        <f>+D40+D39</f>
        <v>84719.44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5">
      <c r="A46" s="49">
        <f>+A41</f>
        <v>37128</v>
      </c>
      <c r="B46" s="32"/>
      <c r="C46" s="32"/>
      <c r="D46" s="379">
        <f>+D37</f>
        <v>22177</v>
      </c>
    </row>
    <row r="47" spans="1:4" x14ac:dyDescent="0.25">
      <c r="A47" s="32"/>
      <c r="B47" s="32"/>
      <c r="C47" s="32"/>
      <c r="D47" s="14">
        <f>+D46+D45</f>
        <v>131027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1" workbookViewId="3">
      <selection activeCell="C31" sqref="C31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5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5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5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5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5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5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5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5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5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5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5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5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5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5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5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5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5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5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5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948027</v>
      </c>
      <c r="C37" s="11">
        <f>SUM(C6:C36)</f>
        <v>915472</v>
      </c>
      <c r="D37" s="25">
        <f>SUM(D6:D36)</f>
        <v>-32555</v>
      </c>
    </row>
    <row r="38" spans="1:4" x14ac:dyDescent="0.25">
      <c r="A38" s="26"/>
      <c r="C38" s="14"/>
      <c r="D38" s="345">
        <f>+summary!H5</f>
        <v>2.93</v>
      </c>
    </row>
    <row r="39" spans="1:4" x14ac:dyDescent="0.25">
      <c r="D39" s="138">
        <f>+D38*D37</f>
        <v>-95386.150000000009</v>
      </c>
    </row>
    <row r="40" spans="1:4" x14ac:dyDescent="0.25">
      <c r="A40" s="57">
        <v>37103</v>
      </c>
      <c r="C40" s="15"/>
      <c r="D40" s="359">
        <v>-38120.6</v>
      </c>
    </row>
    <row r="41" spans="1:4" x14ac:dyDescent="0.25">
      <c r="A41" s="57">
        <v>37128</v>
      </c>
      <c r="C41" s="48"/>
      <c r="D41" s="138">
        <f>+D40+D39</f>
        <v>-133506.75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v>-2104</v>
      </c>
    </row>
    <row r="46" spans="1:4" x14ac:dyDescent="0.25">
      <c r="A46" s="49">
        <f>+A41</f>
        <v>37128</v>
      </c>
      <c r="B46" s="32"/>
      <c r="C46" s="32"/>
      <c r="D46" s="379">
        <f>+D37</f>
        <v>-32555</v>
      </c>
    </row>
    <row r="47" spans="1:4" x14ac:dyDescent="0.25">
      <c r="A47" s="32"/>
      <c r="B47" s="32"/>
      <c r="C47" s="32"/>
      <c r="D47" s="14">
        <f>+D46+D45</f>
        <v>-34659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E29" sqref="E29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62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8184541</v>
      </c>
      <c r="C35" s="11">
        <f t="shared" ref="C35:I35" si="3">SUM(C4:C34)</f>
        <v>8305108</v>
      </c>
      <c r="D35" s="11">
        <f t="shared" si="3"/>
        <v>1595360</v>
      </c>
      <c r="E35" s="11">
        <f t="shared" si="3"/>
        <v>1513674</v>
      </c>
      <c r="F35" s="11">
        <f t="shared" si="3"/>
        <v>1492828</v>
      </c>
      <c r="G35" s="11">
        <f t="shared" si="3"/>
        <v>1479006</v>
      </c>
      <c r="H35" s="11">
        <f t="shared" si="3"/>
        <v>3316180</v>
      </c>
      <c r="I35" s="11">
        <f t="shared" si="3"/>
        <v>3275672</v>
      </c>
      <c r="J35" s="11">
        <f>SUM(J4:J34)</f>
        <v>-15449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5">
      <c r="A40" s="33">
        <v>37128</v>
      </c>
      <c r="J40" s="51">
        <f>+J38+J35</f>
        <v>294819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5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37128</v>
      </c>
      <c r="B47" s="32"/>
      <c r="C47" s="32"/>
      <c r="D47" s="408">
        <f>+J35*'by type'!J3</f>
        <v>-41094.340000000004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1338175.23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5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5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64"/>
      <c r="S295" s="1"/>
    </row>
    <row r="296" spans="9:21" x14ac:dyDescent="0.25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64"/>
      <c r="S337" s="1"/>
    </row>
    <row r="338" spans="11:21" x14ac:dyDescent="0.25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64"/>
      <c r="S379" s="1"/>
    </row>
    <row r="380" spans="11:21" x14ac:dyDescent="0.25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64"/>
      <c r="S423" s="1"/>
    </row>
    <row r="424" spans="11:21" x14ac:dyDescent="0.25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35" sqref="C35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5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5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5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5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5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5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5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5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5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5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5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5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5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5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5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5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5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1516066</v>
      </c>
      <c r="C37" s="11">
        <f>SUM(C6:C36)</f>
        <v>1519511</v>
      </c>
      <c r="D37" s="25">
        <f>SUM(D6:D36)</f>
        <v>3445</v>
      </c>
    </row>
    <row r="38" spans="1:4" x14ac:dyDescent="0.25">
      <c r="A38" s="26"/>
      <c r="C38" s="14"/>
      <c r="D38" s="345">
        <f>+summary!H5</f>
        <v>2.93</v>
      </c>
    </row>
    <row r="39" spans="1:4" x14ac:dyDescent="0.25">
      <c r="D39" s="138">
        <f>+D38*D37</f>
        <v>10093.85</v>
      </c>
    </row>
    <row r="40" spans="1:4" x14ac:dyDescent="0.25">
      <c r="A40" s="57">
        <v>37103</v>
      </c>
      <c r="C40" s="15"/>
      <c r="D40" s="368">
        <v>0</v>
      </c>
    </row>
    <row r="41" spans="1:4" x14ac:dyDescent="0.25">
      <c r="A41" s="57">
        <v>37128</v>
      </c>
      <c r="C41" s="48"/>
      <c r="D41" s="138">
        <f>+D40+D39</f>
        <v>10093.85</v>
      </c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53363</v>
      </c>
    </row>
    <row r="47" spans="1:4" x14ac:dyDescent="0.25">
      <c r="A47" s="49">
        <f>+A41</f>
        <v>37128</v>
      </c>
      <c r="B47" s="32"/>
      <c r="C47" s="32"/>
      <c r="D47" s="379">
        <f>+D37</f>
        <v>3445</v>
      </c>
    </row>
    <row r="48" spans="1:4" x14ac:dyDescent="0.25">
      <c r="A48" s="32"/>
      <c r="B48" s="32"/>
      <c r="C48" s="32"/>
      <c r="D48" s="14">
        <f>+D47+D46</f>
        <v>56808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A42" sqref="A4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7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5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5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5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5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5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5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5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5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5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8" thickBot="1" x14ac:dyDescent="0.3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8" thickTop="1" x14ac:dyDescent="0.25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5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5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5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-33195</v>
      </c>
      <c r="C37" s="11">
        <f>SUM(C6:C36)</f>
        <v>-48890</v>
      </c>
      <c r="D37" s="25">
        <f>SUM(D6:D36)</f>
        <v>-15695</v>
      </c>
    </row>
    <row r="38" spans="1:4" x14ac:dyDescent="0.25">
      <c r="A38" s="26"/>
      <c r="C38" s="14"/>
      <c r="D38" s="345">
        <f>+summary!H4</f>
        <v>2.84</v>
      </c>
    </row>
    <row r="39" spans="1:4" x14ac:dyDescent="0.25">
      <c r="D39" s="138">
        <f>+D38*D37</f>
        <v>-44573.799999999996</v>
      </c>
    </row>
    <row r="40" spans="1:4" x14ac:dyDescent="0.25">
      <c r="A40" s="57">
        <v>37103</v>
      </c>
      <c r="C40" s="15"/>
      <c r="D40" s="359">
        <v>-394244.14</v>
      </c>
    </row>
    <row r="41" spans="1:4" x14ac:dyDescent="0.25">
      <c r="A41" s="57">
        <v>37128</v>
      </c>
      <c r="C41" s="48"/>
      <c r="D41" s="138">
        <f>+D40+D39</f>
        <v>-438817.94</v>
      </c>
    </row>
    <row r="47" spans="1:4" x14ac:dyDescent="0.25">
      <c r="A47" s="32" t="s">
        <v>157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212">
        <v>-68282</v>
      </c>
    </row>
    <row r="49" spans="1:4" x14ac:dyDescent="0.25">
      <c r="A49" s="49">
        <f>+A41</f>
        <v>37128</v>
      </c>
      <c r="B49" s="32"/>
      <c r="C49" s="32"/>
      <c r="D49" s="379">
        <f>+D37</f>
        <v>-15695</v>
      </c>
    </row>
    <row r="50" spans="1:4" x14ac:dyDescent="0.25">
      <c r="A50" s="32"/>
      <c r="B50" s="32"/>
      <c r="C50" s="32"/>
      <c r="D50" s="14">
        <f>+D49+D48</f>
        <v>-83977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144</v>
      </c>
      <c r="C3" s="87"/>
      <c r="D3" s="87"/>
    </row>
    <row r="4" spans="1:4" x14ac:dyDescent="0.25">
      <c r="A4" s="3"/>
      <c r="B4" s="347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5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5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5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5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5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5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5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5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5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5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5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5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5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-849479</v>
      </c>
      <c r="C37" s="11">
        <f>SUM(C6:C36)</f>
        <v>-800339</v>
      </c>
      <c r="D37" s="25">
        <f>SUM(D6:D36)</f>
        <v>49140</v>
      </c>
    </row>
    <row r="38" spans="1:4" x14ac:dyDescent="0.25">
      <c r="A38" s="26"/>
      <c r="C38" s="14"/>
      <c r="D38" s="345">
        <f>+summary!H4</f>
        <v>2.84</v>
      </c>
    </row>
    <row r="39" spans="1:4" x14ac:dyDescent="0.25">
      <c r="D39" s="138">
        <f>+D38*D37</f>
        <v>139557.6</v>
      </c>
    </row>
    <row r="40" spans="1:4" x14ac:dyDescent="0.25">
      <c r="A40" s="57">
        <v>37103</v>
      </c>
      <c r="C40" s="15"/>
      <c r="D40" s="359">
        <v>-351170.32</v>
      </c>
    </row>
    <row r="41" spans="1:4" x14ac:dyDescent="0.25">
      <c r="A41" s="57">
        <v>37128</v>
      </c>
      <c r="C41" s="48"/>
      <c r="D41" s="138">
        <f>+D40+D39</f>
        <v>-211612.72</v>
      </c>
    </row>
    <row r="42" spans="1:4" x14ac:dyDescent="0.25">
      <c r="D42" s="24"/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-150287</v>
      </c>
    </row>
    <row r="47" spans="1:4" x14ac:dyDescent="0.25">
      <c r="A47" s="49">
        <f>+A41</f>
        <v>37128</v>
      </c>
      <c r="B47" s="32"/>
      <c r="C47" s="32"/>
      <c r="D47" s="379">
        <f>+D37</f>
        <v>49140</v>
      </c>
    </row>
    <row r="48" spans="1:4" x14ac:dyDescent="0.25">
      <c r="A48" s="32"/>
      <c r="B48" s="32"/>
      <c r="C48" s="32"/>
      <c r="D48" s="14">
        <f>+D47+D46</f>
        <v>-101147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2">
        <v>-26177</v>
      </c>
      <c r="C5" s="90">
        <v>-2925</v>
      </c>
      <c r="D5" s="90">
        <f>+C5-B5</f>
        <v>23252</v>
      </c>
      <c r="E5" s="285"/>
      <c r="F5" s="283"/>
    </row>
    <row r="6" spans="1:13" x14ac:dyDescent="0.25">
      <c r="A6" s="87">
        <v>500046</v>
      </c>
      <c r="B6" s="90">
        <v>-584</v>
      </c>
      <c r="C6" s="90"/>
      <c r="D6" s="90">
        <f t="shared" ref="D6:D11" si="0">+C6-B6</f>
        <v>584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23836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2.84</v>
      </c>
      <c r="E13" s="287"/>
      <c r="F13" s="283"/>
    </row>
    <row r="14" spans="1:13" x14ac:dyDescent="0.25">
      <c r="A14" s="87"/>
      <c r="B14" s="88"/>
      <c r="C14" s="88"/>
      <c r="D14" s="96">
        <f>+D13*D12</f>
        <v>67694.239999999991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37128</v>
      </c>
      <c r="B18" s="88"/>
      <c r="C18" s="88"/>
      <c r="D18" s="334">
        <f>+D16+D14</f>
        <v>-788646.42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157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212">
        <v>-187753</v>
      </c>
    </row>
    <row r="23" spans="1:7" x14ac:dyDescent="0.25">
      <c r="A23" s="49">
        <f>+A18</f>
        <v>37128</v>
      </c>
      <c r="B23" s="32"/>
      <c r="C23" s="32"/>
      <c r="D23" s="379">
        <f>+D12</f>
        <v>23836</v>
      </c>
    </row>
    <row r="24" spans="1:7" x14ac:dyDescent="0.25">
      <c r="A24" s="32"/>
      <c r="B24" s="32"/>
      <c r="C24" s="32"/>
      <c r="D24" s="14">
        <f>+D23+D22</f>
        <v>-163917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40" sqref="A40"/>
    </sheetView>
  </sheetViews>
  <sheetFormatPr defaultRowHeight="13.2" x14ac:dyDescent="0.25"/>
  <sheetData>
    <row r="3" spans="1:4" ht="13.8" x14ac:dyDescent="0.25">
      <c r="A3" s="134"/>
      <c r="B3" s="34" t="s">
        <v>147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5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37103</v>
      </c>
      <c r="C40" s="15"/>
      <c r="D40" s="439">
        <v>76325</v>
      </c>
    </row>
    <row r="41" spans="1:4" x14ac:dyDescent="0.25">
      <c r="A41" s="57">
        <v>37128</v>
      </c>
      <c r="C41" s="48"/>
      <c r="D41" s="25">
        <f>+D40+D37</f>
        <v>64490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440">
        <v>341220.3</v>
      </c>
    </row>
    <row r="46" spans="1:4" x14ac:dyDescent="0.25">
      <c r="A46" s="49">
        <f>+A41</f>
        <v>37128</v>
      </c>
      <c r="B46" s="32"/>
      <c r="C46" s="32"/>
      <c r="D46" s="408">
        <f>+D37*'by type'!J4</f>
        <v>-33611.4</v>
      </c>
    </row>
    <row r="47" spans="1:4" x14ac:dyDescent="0.25">
      <c r="A47" s="32"/>
      <c r="B47" s="32"/>
      <c r="C47" s="32"/>
      <c r="D47" s="202">
        <f>+D46+D45</f>
        <v>307608.89999999997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B29" sqref="B29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5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5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5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5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5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5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5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5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5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5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5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5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5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5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5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5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5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5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2805118</v>
      </c>
      <c r="C38" s="11">
        <f>SUM(C7:C37)</f>
        <v>2820479</v>
      </c>
      <c r="D38" s="11">
        <f>SUM(D7:D37)</f>
        <v>15361</v>
      </c>
    </row>
    <row r="39" spans="1:4" x14ac:dyDescent="0.25">
      <c r="A39" s="26"/>
      <c r="C39" s="14"/>
      <c r="D39" s="106">
        <f>+summary!H3</f>
        <v>2.66</v>
      </c>
    </row>
    <row r="40" spans="1:4" x14ac:dyDescent="0.25">
      <c r="D40" s="138">
        <f>+D39*D38</f>
        <v>40860.26</v>
      </c>
    </row>
    <row r="41" spans="1:4" x14ac:dyDescent="0.25">
      <c r="A41" s="57">
        <v>37103</v>
      </c>
      <c r="C41" s="15"/>
      <c r="D41" s="370">
        <v>-36642</v>
      </c>
    </row>
    <row r="42" spans="1:4" x14ac:dyDescent="0.25">
      <c r="A42" s="57">
        <v>37128</v>
      </c>
      <c r="D42" s="337">
        <f>+D41+D40</f>
        <v>4218.260000000002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+A41</f>
        <v>37103</v>
      </c>
      <c r="B47" s="32"/>
      <c r="C47" s="32"/>
      <c r="D47" s="212">
        <v>-14958</v>
      </c>
    </row>
    <row r="48" spans="1:4" x14ac:dyDescent="0.25">
      <c r="A48" s="49">
        <f>+A42</f>
        <v>37128</v>
      </c>
      <c r="B48" s="32"/>
      <c r="C48" s="32"/>
      <c r="D48" s="379">
        <f>+D38</f>
        <v>15361</v>
      </c>
    </row>
    <row r="49" spans="1:4" x14ac:dyDescent="0.25">
      <c r="A49" s="32"/>
      <c r="B49" s="32"/>
      <c r="C49" s="32"/>
      <c r="D49" s="14">
        <f>+D48+D47</f>
        <v>403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24" sqref="C2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-1473845</v>
      </c>
      <c r="C36" s="44">
        <f>SUM(C5:C35)</f>
        <v>-478256</v>
      </c>
      <c r="D36" s="43">
        <f>SUM(D5:D35)</f>
        <v>-305444</v>
      </c>
      <c r="E36" s="44">
        <f>SUM(E5:E35)</f>
        <v>-1269874</v>
      </c>
      <c r="F36" s="11">
        <f>SUM(F5:F35)</f>
        <v>31159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-995589</v>
      </c>
      <c r="D37" s="24"/>
      <c r="E37" s="24">
        <f>+D36-E36</f>
        <v>964430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37128</v>
      </c>
      <c r="C42" s="14"/>
      <c r="D42" s="50"/>
      <c r="E42" s="50"/>
      <c r="F42" s="51">
        <f>+F41+F36</f>
        <v>67498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158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-29968.41</v>
      </c>
    </row>
    <row r="48" spans="1:12" x14ac:dyDescent="0.25">
      <c r="A48" s="49">
        <f>+B42</f>
        <v>37128</v>
      </c>
      <c r="B48" s="32"/>
      <c r="C48" s="32"/>
      <c r="D48" s="408">
        <f>+F36*'by type'!J4</f>
        <v>88491.56</v>
      </c>
    </row>
    <row r="49" spans="1:4" x14ac:dyDescent="0.25">
      <c r="A49" s="32"/>
      <c r="B49" s="32"/>
      <c r="C49" s="32"/>
      <c r="D49" s="202">
        <f>+D48+D47</f>
        <v>58523.149999999994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29" sqref="C29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5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5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5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5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5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5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5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5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5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5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5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5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5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5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5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5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5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-4553966</v>
      </c>
      <c r="C35" s="11">
        <f>SUM(C4:C34)</f>
        <v>-4539329</v>
      </c>
      <c r="D35" s="11">
        <f>SUM(D4:D34)</f>
        <v>14637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247">
        <v>24900</v>
      </c>
    </row>
    <row r="39" spans="1:30" x14ac:dyDescent="0.25">
      <c r="A39" s="12"/>
      <c r="D39" s="24"/>
    </row>
    <row r="40" spans="1:30" x14ac:dyDescent="0.25">
      <c r="A40" s="249">
        <v>37128</v>
      </c>
      <c r="D40" s="24">
        <f>+D38+D35</f>
        <v>39537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158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37128</v>
      </c>
      <c r="B46" s="32"/>
      <c r="C46" s="32"/>
      <c r="D46" s="408">
        <f>+D35*'by type'!J4</f>
        <v>41569.079999999994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-114514.30000000002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3" workbookViewId="3">
      <selection activeCell="E29" sqref="E29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5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5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5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5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5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5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5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5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5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5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5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5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5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5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5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5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5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-17961539</v>
      </c>
      <c r="C35" s="11">
        <f>SUM(C4:C34)</f>
        <v>-17933487</v>
      </c>
      <c r="D35" s="11">
        <f>SUM(D4:D34)</f>
        <v>-566337</v>
      </c>
      <c r="E35" s="11">
        <f>SUM(E4:E34)</f>
        <v>-555000</v>
      </c>
      <c r="F35" s="11">
        <f>SUM(F4:F34)</f>
        <v>39389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446">
        <v>145102</v>
      </c>
    </row>
    <row r="39" spans="1:45" x14ac:dyDescent="0.25">
      <c r="A39" s="2"/>
      <c r="F39" s="24"/>
    </row>
    <row r="40" spans="1:45" x14ac:dyDescent="0.25">
      <c r="A40" s="57">
        <v>37128</v>
      </c>
      <c r="F40" s="51">
        <f>+F38+F35</f>
        <v>184491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37128</v>
      </c>
      <c r="B46" s="32"/>
      <c r="C46" s="32"/>
      <c r="D46" s="408">
        <f>+F35*'by type'!J4</f>
        <v>111864.76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560278.66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3.2" x14ac:dyDescent="0.25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3.2" x14ac:dyDescent="0.25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8" thickTop="1" x14ac:dyDescent="0.25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-135368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1018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-3420929</v>
      </c>
      <c r="C35" s="44">
        <f t="shared" si="3"/>
        <v>-2735493</v>
      </c>
      <c r="D35" s="11">
        <f t="shared" si="3"/>
        <v>-1482962</v>
      </c>
      <c r="E35" s="44">
        <f t="shared" si="3"/>
        <v>-2159796</v>
      </c>
      <c r="F35" s="11">
        <f t="shared" si="3"/>
        <v>0</v>
      </c>
      <c r="G35" s="11">
        <f t="shared" si="3"/>
        <v>0</v>
      </c>
      <c r="H35" s="11">
        <f t="shared" si="3"/>
        <v>8602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24429.68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37128</v>
      </c>
      <c r="F39" s="47"/>
      <c r="G39" s="47"/>
      <c r="H39" s="137">
        <f>+H38+H37</f>
        <v>485265.05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37128</v>
      </c>
      <c r="E47" s="379">
        <f>+H35</f>
        <v>8602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119838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32" workbookViewId="3">
      <selection activeCell="C41" sqref="C41:F42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-7102129</v>
      </c>
      <c r="E36" s="11">
        <f t="shared" si="15"/>
        <v>-7196432</v>
      </c>
      <c r="F36" s="11">
        <f t="shared" si="15"/>
        <v>0</v>
      </c>
      <c r="G36" s="11">
        <f t="shared" si="15"/>
        <v>0</v>
      </c>
      <c r="H36" s="11">
        <f t="shared" si="15"/>
        <v>-94416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-113</v>
      </c>
      <c r="E37" s="25">
        <f>+E36-D36</f>
        <v>-94303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37128</v>
      </c>
      <c r="B39" s="2" t="s">
        <v>46</v>
      </c>
      <c r="C39" s="131">
        <f>+C38+C37</f>
        <v>64156</v>
      </c>
      <c r="D39" s="259"/>
      <c r="E39" s="131">
        <f>+E38+E37</f>
        <v>-66707</v>
      </c>
      <c r="F39" s="259"/>
      <c r="G39" s="131"/>
      <c r="H39" s="131">
        <f>+H38+H36</f>
        <v>-2551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37128</v>
      </c>
      <c r="B45" s="32"/>
      <c r="C45" s="47">
        <f>+C37*summary!H4</f>
        <v>-320.91999999999996</v>
      </c>
      <c r="D45" s="207"/>
      <c r="E45" s="410">
        <f>+E37*summary!H3</f>
        <v>-250845.98</v>
      </c>
      <c r="F45" s="47">
        <f>+E45+C45</f>
        <v>-251166.90000000002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-1583281.92</v>
      </c>
      <c r="D46" s="207"/>
      <c r="E46" s="410">
        <f>+E45+E44</f>
        <v>935890.64000000013</v>
      </c>
      <c r="F46" s="47">
        <f>+E46+C46</f>
        <v>-647391.2799999998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7" sqref="C37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2808046</v>
      </c>
      <c r="C37" s="11">
        <f>SUM(C6:C36)</f>
        <v>2852528</v>
      </c>
      <c r="D37" s="11">
        <f>SUM(D6:D36)</f>
        <v>44482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37128</v>
      </c>
      <c r="C40" s="48"/>
      <c r="D40" s="25">
        <f>+D39+D37</f>
        <v>99365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411751.53</v>
      </c>
    </row>
    <row r="46" spans="1:16" x14ac:dyDescent="0.25">
      <c r="A46" s="49">
        <f>+A40</f>
        <v>37128</v>
      </c>
      <c r="B46" s="32"/>
      <c r="C46" s="32"/>
      <c r="D46" s="408">
        <f>+D37*'by type'!J3</f>
        <v>118322.12000000001</v>
      </c>
    </row>
    <row r="47" spans="1:16" x14ac:dyDescent="0.25">
      <c r="A47" s="32"/>
      <c r="B47" s="32"/>
      <c r="C47" s="32"/>
      <c r="D47" s="202">
        <f>+D46+D45</f>
        <v>530073.65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2001-08-27T16:05:37Z</cp:lastPrinted>
  <dcterms:created xsi:type="dcterms:W3CDTF">2000-03-28T16:52:23Z</dcterms:created>
  <dcterms:modified xsi:type="dcterms:W3CDTF">2023-09-10T12:02:43Z</dcterms:modified>
</cp:coreProperties>
</file>