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8" activeTab="15"/>
    <workbookView xWindow="360" yWindow="96" windowWidth="9720" windowHeight="6792" tabRatio="895" activeTab="2"/>
    <workbookView xWindow="600" yWindow="288" windowWidth="9720" windowHeight="6600" activeTab="1"/>
    <workbookView xWindow="840" yWindow="480" windowWidth="10860" windowHeight="6408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type'!$A$2:$M$82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8" i="80"/>
  <c r="K48" i="80"/>
  <c r="J49" i="80"/>
  <c r="J50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F59" i="80"/>
  <c r="B60" i="80"/>
  <c r="C60" i="80"/>
  <c r="D60" i="80"/>
  <c r="E60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B77" i="80"/>
  <c r="C77" i="80"/>
  <c r="D77" i="80"/>
  <c r="E77" i="80"/>
  <c r="B80" i="80"/>
  <c r="B81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D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9" i="20"/>
  <c r="B11" i="20"/>
  <c r="B12" i="20"/>
  <c r="B13" i="20"/>
  <c r="B14" i="20"/>
  <c r="B15" i="20"/>
  <c r="B16" i="20"/>
  <c r="E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C56" i="20"/>
  <c r="I56" i="20"/>
  <c r="D5" i="11"/>
  <c r="H5" i="11"/>
  <c r="D6" i="11"/>
  <c r="H6" i="11"/>
  <c r="D7" i="11"/>
  <c r="H7" i="11"/>
  <c r="D8" i="11"/>
  <c r="H8" i="11"/>
  <c r="AB8" i="11"/>
  <c r="AC8" i="11"/>
  <c r="AF8" i="11"/>
  <c r="AI8" i="11"/>
  <c r="AL8" i="11"/>
  <c r="AM8" i="11"/>
  <c r="AN8" i="11"/>
  <c r="AO8" i="11"/>
  <c r="AP8" i="11"/>
  <c r="D9" i="11"/>
  <c r="H9" i="11"/>
  <c r="AC9" i="11"/>
  <c r="AF9" i="11"/>
  <c r="AI9" i="11"/>
  <c r="AL9" i="11"/>
  <c r="AM9" i="11"/>
  <c r="AN9" i="11"/>
  <c r="AO9" i="11"/>
  <c r="AP9" i="11"/>
  <c r="D10" i="11"/>
  <c r="H10" i="11"/>
  <c r="AC10" i="11"/>
  <c r="AF10" i="11"/>
  <c r="AI10" i="11"/>
  <c r="AL10" i="11"/>
  <c r="AM10" i="11"/>
  <c r="AN10" i="11"/>
  <c r="AO10" i="11"/>
  <c r="AP10" i="11"/>
  <c r="D11" i="11"/>
  <c r="H11" i="11"/>
  <c r="AC11" i="11"/>
  <c r="AF11" i="11"/>
  <c r="AI11" i="11"/>
  <c r="AL11" i="11"/>
  <c r="AM11" i="11"/>
  <c r="AN11" i="11"/>
  <c r="AO11" i="11"/>
  <c r="AP11" i="11"/>
  <c r="D12" i="11"/>
  <c r="H12" i="11"/>
  <c r="AC12" i="11"/>
  <c r="AF12" i="11"/>
  <c r="AI12" i="11"/>
  <c r="AL12" i="11"/>
  <c r="AM12" i="11"/>
  <c r="AN12" i="11"/>
  <c r="AO12" i="11"/>
  <c r="AP12" i="11"/>
  <c r="D13" i="11"/>
  <c r="H13" i="11"/>
  <c r="AC13" i="11"/>
  <c r="AF13" i="11"/>
  <c r="AI13" i="11"/>
  <c r="AL13" i="11"/>
  <c r="AM13" i="11"/>
  <c r="AN13" i="11"/>
  <c r="AO13" i="11"/>
  <c r="AP13" i="11"/>
  <c r="D14" i="11"/>
  <c r="H14" i="11"/>
  <c r="AC14" i="11"/>
  <c r="AF14" i="11"/>
  <c r="AI14" i="11"/>
  <c r="AL14" i="11"/>
  <c r="AM14" i="11"/>
  <c r="AN14" i="11"/>
  <c r="AO14" i="11"/>
  <c r="AP14" i="11"/>
  <c r="D15" i="11"/>
  <c r="H15" i="11"/>
  <c r="AC15" i="11"/>
  <c r="AF15" i="11"/>
  <c r="AI15" i="11"/>
  <c r="AL15" i="11"/>
  <c r="AM15" i="11"/>
  <c r="AN15" i="11"/>
  <c r="AO15" i="11"/>
  <c r="AP15" i="11"/>
  <c r="D16" i="11"/>
  <c r="H16" i="11"/>
  <c r="AA16" i="11"/>
  <c r="AC16" i="11"/>
  <c r="AF16" i="11"/>
  <c r="AI16" i="11"/>
  <c r="AL16" i="11"/>
  <c r="AM16" i="11"/>
  <c r="AN16" i="11"/>
  <c r="AO16" i="11"/>
  <c r="AP16" i="11"/>
  <c r="D17" i="11"/>
  <c r="H17" i="11"/>
  <c r="AC17" i="11"/>
  <c r="AF17" i="11"/>
  <c r="AI17" i="11"/>
  <c r="AL17" i="11"/>
  <c r="AM17" i="11"/>
  <c r="AN17" i="11"/>
  <c r="AO17" i="11"/>
  <c r="AP17" i="11"/>
  <c r="D18" i="11"/>
  <c r="H18" i="11"/>
  <c r="AC18" i="11"/>
  <c r="AF18" i="11"/>
  <c r="AI18" i="11"/>
  <c r="AL18" i="11"/>
  <c r="AM18" i="11"/>
  <c r="AN18" i="11"/>
  <c r="AO18" i="11"/>
  <c r="AP18" i="11"/>
  <c r="D19" i="11"/>
  <c r="H19" i="11"/>
  <c r="AC19" i="11"/>
  <c r="AF19" i="11"/>
  <c r="AI19" i="11"/>
  <c r="AL19" i="11"/>
  <c r="AM19" i="11"/>
  <c r="AN19" i="11"/>
  <c r="AO19" i="11"/>
  <c r="AP19" i="11"/>
  <c r="D20" i="11"/>
  <c r="H20" i="11"/>
  <c r="AC20" i="11"/>
  <c r="AE20" i="11"/>
  <c r="AF20" i="11"/>
  <c r="AI20" i="11"/>
  <c r="AL20" i="11"/>
  <c r="AM20" i="11"/>
  <c r="AN20" i="11"/>
  <c r="AO20" i="11"/>
  <c r="AP20" i="11"/>
  <c r="D21" i="11"/>
  <c r="H21" i="11"/>
  <c r="AC21" i="11"/>
  <c r="AF21" i="11"/>
  <c r="AI21" i="11"/>
  <c r="AL21" i="11"/>
  <c r="AM21" i="11"/>
  <c r="AN21" i="11"/>
  <c r="AO21" i="11"/>
  <c r="AP21" i="11"/>
  <c r="D22" i="11"/>
  <c r="H22" i="11"/>
  <c r="AC22" i="11"/>
  <c r="AF22" i="11"/>
  <c r="AI22" i="11"/>
  <c r="AL22" i="11"/>
  <c r="AM22" i="11"/>
  <c r="AN22" i="11"/>
  <c r="AO22" i="11"/>
  <c r="AP22" i="11"/>
  <c r="D23" i="11"/>
  <c r="H23" i="11"/>
  <c r="AC23" i="11"/>
  <c r="AF23" i="11"/>
  <c r="AI23" i="11"/>
  <c r="AL23" i="11"/>
  <c r="AM23" i="11"/>
  <c r="AN23" i="11"/>
  <c r="AO23" i="11"/>
  <c r="AP23" i="11"/>
  <c r="D24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<sst xmlns="http://schemas.openxmlformats.org/spreadsheetml/2006/main" count="663" uniqueCount="202">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</sst>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0" fontId="14" fillId="0" borderId="0" xfId="0" applyFont="1" applyBorder="1"/>
    <xf numFmtId="5" fontId="0" fillId="0" borderId="0" xfId="0" applyNumberFormat="1" applyBorder="1"/>
    <xf numFmtId="37" fontId="0" fillId="0" borderId="0" xfId="1" applyNumberFormat="1" applyFont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5" fontId="25" fillId="0" borderId="0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2.98</v>
          </cell>
          <cell r="K39">
            <v>2.69</v>
          </cell>
          <cell r="M39">
            <v>2.88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workbookViewId="0"/>
    <sheetView workbookViewId="1"/>
    <sheetView topLeftCell="A46" workbookViewId="2">
      <selection activeCell="G50" sqref="G50"/>
    </sheetView>
    <sheetView topLeftCell="A22" workbookViewId="3">
      <selection activeCell="A24" sqref="A24"/>
    </sheetView>
  </sheetViews>
  <sheetFormatPr defaultRowHeight="13.2" outlineLevelRow="2" x14ac:dyDescent="0.25"/>
  <cols>
    <col min="1" max="1" width="18.88671875" style="295" customWidth="1"/>
    <col min="2" max="2" width="11.109375" style="252" bestFit="1" customWidth="1"/>
    <col min="3" max="3" width="9.44140625" style="296" customWidth="1"/>
    <col min="4" max="4" width="10.109375" bestFit="1" customWidth="1"/>
    <col min="5" max="5" width="10.6640625" bestFit="1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1" width="9.5546875" bestFit="1" customWidth="1"/>
    <col min="13" max="13" width="34.44140625" customWidth="1"/>
  </cols>
  <sheetData>
    <row r="1" spans="1:32" ht="13.8" x14ac:dyDescent="0.25">
      <c r="A1" s="365"/>
    </row>
    <row r="2" spans="1:32" ht="12.9" customHeight="1" x14ac:dyDescent="0.25">
      <c r="A2" s="34" t="s">
        <v>145</v>
      </c>
      <c r="D2" s="7"/>
      <c r="I2" s="416" t="s">
        <v>81</v>
      </c>
      <c r="J2" s="419"/>
      <c r="K2" s="32"/>
    </row>
    <row r="3" spans="1:32" ht="12.9" customHeight="1" x14ac:dyDescent="0.25">
      <c r="D3" s="7"/>
      <c r="I3" s="417" t="s">
        <v>30</v>
      </c>
      <c r="J3" s="420">
        <f>+summary!H3</f>
        <v>2.69</v>
      </c>
      <c r="K3" s="440">
        <f ca="1">NOW()</f>
        <v>37127.668055671296</v>
      </c>
    </row>
    <row r="4" spans="1:32" ht="12.9" customHeight="1" x14ac:dyDescent="0.25">
      <c r="A4" s="34" t="s">
        <v>152</v>
      </c>
      <c r="C4" s="34" t="s">
        <v>5</v>
      </c>
      <c r="D4" s="7"/>
      <c r="I4" s="418" t="s">
        <v>31</v>
      </c>
      <c r="J4" s="420">
        <f>+summary!H4</f>
        <v>2.88</v>
      </c>
      <c r="K4" s="32"/>
    </row>
    <row r="5" spans="1:32" ht="12.9" customHeight="1" x14ac:dyDescent="0.25">
      <c r="D5" s="7"/>
      <c r="I5" s="417" t="s">
        <v>120</v>
      </c>
      <c r="J5" s="420">
        <f>+summary!H5</f>
        <v>2.98</v>
      </c>
      <c r="K5" s="32"/>
    </row>
    <row r="6" spans="1:32" ht="12" customHeight="1" x14ac:dyDescent="0.25"/>
    <row r="7" spans="1:32" ht="12.9" customHeight="1" x14ac:dyDescent="0.25">
      <c r="A7" s="438" t="s">
        <v>179</v>
      </c>
      <c r="B7" s="439"/>
      <c r="AD7" s="32"/>
      <c r="AE7" s="32"/>
      <c r="AF7" s="32"/>
    </row>
    <row r="8" spans="1:32" ht="15.9" customHeight="1" outlineLevel="2" x14ac:dyDescent="0.25">
      <c r="A8" s="32"/>
      <c r="B8" s="47"/>
      <c r="C8" s="436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99" t="s">
        <v>92</v>
      </c>
      <c r="B9" s="425" t="s">
        <v>163</v>
      </c>
      <c r="C9" s="437" t="s">
        <v>178</v>
      </c>
      <c r="D9" s="39" t="s">
        <v>0</v>
      </c>
      <c r="E9" s="39" t="s">
        <v>164</v>
      </c>
      <c r="F9" s="39" t="s">
        <v>153</v>
      </c>
      <c r="G9" s="423" t="s">
        <v>159</v>
      </c>
      <c r="H9" s="400" t="s">
        <v>104</v>
      </c>
      <c r="I9" s="399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" customHeight="1" outlineLevel="2" x14ac:dyDescent="0.25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99" t="s">
        <v>169</v>
      </c>
    </row>
    <row r="12" spans="1:32" ht="15.9" customHeight="1" outlineLevel="1" x14ac:dyDescent="0.25">
      <c r="A12" s="206" t="s">
        <v>132</v>
      </c>
      <c r="B12" s="375">
        <f>+Calpine!D41</f>
        <v>124051.63999999998</v>
      </c>
      <c r="C12" s="402">
        <f>+B12/$J$4</f>
        <v>43073.486111111109</v>
      </c>
      <c r="D12" s="14">
        <f>+Calpine!D47</f>
        <v>144376</v>
      </c>
      <c r="E12" s="70">
        <f>+C12-D12</f>
        <v>-101302.51388888889</v>
      </c>
      <c r="F12" s="397">
        <f>+Calpine!A41</f>
        <v>37125</v>
      </c>
      <c r="G12" s="205"/>
      <c r="H12" s="206" t="s">
        <v>102</v>
      </c>
      <c r="I12" s="381"/>
      <c r="J12" s="70"/>
      <c r="K12" s="32"/>
    </row>
    <row r="13" spans="1:32" ht="15.9" customHeight="1" outlineLevel="2" x14ac:dyDescent="0.25">
      <c r="A13" s="32" t="s">
        <v>144</v>
      </c>
      <c r="B13" s="375">
        <f>+'Citizens-Griffith'!D41</f>
        <v>-198867.28</v>
      </c>
      <c r="C13" s="401">
        <f>+B13/$J$4</f>
        <v>-69051.138888888891</v>
      </c>
      <c r="D13" s="14">
        <f>+'Citizens-Griffith'!D48</f>
        <v>-97404</v>
      </c>
      <c r="E13" s="70">
        <f>+C13-D13</f>
        <v>28352.861111111109</v>
      </c>
      <c r="F13" s="397">
        <f>+'Citizens-Griffith'!A41</f>
        <v>37125</v>
      </c>
      <c r="G13" s="205" t="s">
        <v>162</v>
      </c>
      <c r="H13" s="32" t="s">
        <v>102</v>
      </c>
      <c r="I13" s="32"/>
      <c r="J13" s="32"/>
      <c r="K13" s="32"/>
    </row>
    <row r="14" spans="1:32" ht="15.9" customHeight="1" outlineLevel="2" x14ac:dyDescent="0.25">
      <c r="A14" s="32" t="s">
        <v>138</v>
      </c>
      <c r="B14" s="375">
        <f>+'NS Steel'!D41</f>
        <v>-434915.5</v>
      </c>
      <c r="C14" s="401">
        <f>+B14/$J$4</f>
        <v>-151012.32638888891</v>
      </c>
      <c r="D14" s="14">
        <f>+'NS Steel'!D50</f>
        <v>-82404</v>
      </c>
      <c r="E14" s="70">
        <f>+C14-D14</f>
        <v>-68608.326388888905</v>
      </c>
      <c r="F14" s="398">
        <f>+'NS Steel'!A41</f>
        <v>37125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" customHeight="1" outlineLevel="1" x14ac:dyDescent="0.25">
      <c r="A15" s="206" t="s">
        <v>140</v>
      </c>
      <c r="B15" s="378">
        <f>+Citizens!D18</f>
        <v>-796281.14</v>
      </c>
      <c r="C15" s="403">
        <f>+B15/$J$4</f>
        <v>-276486.50694444444</v>
      </c>
      <c r="D15" s="379">
        <f>+Citizens!D24</f>
        <v>-166899</v>
      </c>
      <c r="E15" s="72">
        <f>+C15-D15</f>
        <v>-109587.50694444444</v>
      </c>
      <c r="F15" s="397">
        <f>+Citizens!A18</f>
        <v>37125</v>
      </c>
      <c r="G15" s="205"/>
      <c r="H15" s="206" t="s">
        <v>102</v>
      </c>
      <c r="I15" s="477" t="s">
        <v>199</v>
      </c>
      <c r="J15" s="32"/>
      <c r="K15" s="32"/>
      <c r="T15" s="267"/>
    </row>
    <row r="16" spans="1:32" ht="15.9" customHeight="1" outlineLevel="2" x14ac:dyDescent="0.25">
      <c r="A16" s="153" t="s">
        <v>170</v>
      </c>
      <c r="B16" s="421">
        <f>SUBTOTAL(9,B12:B15)</f>
        <v>-1306012.28</v>
      </c>
      <c r="C16" s="431">
        <f>SUBTOTAL(9,C12:C15)</f>
        <v>-453476.48611111112</v>
      </c>
      <c r="D16" s="432">
        <f>SUBTOTAL(9,D12:D15)</f>
        <v>-202331</v>
      </c>
      <c r="E16" s="433">
        <f>SUBTOTAL(9,E12:E15)</f>
        <v>-251145.48611111112</v>
      </c>
      <c r="F16" s="397"/>
      <c r="G16" s="205"/>
      <c r="H16" s="206"/>
      <c r="I16" s="381"/>
      <c r="J16" s="32"/>
      <c r="K16" s="32"/>
      <c r="T16" s="267"/>
    </row>
    <row r="17" spans="1:20" ht="12.9" customHeight="1" outlineLevel="2" x14ac:dyDescent="0.25">
      <c r="G17" s="7"/>
    </row>
    <row r="18" spans="1:20" ht="15.9" customHeight="1" outlineLevel="2" x14ac:dyDescent="0.25">
      <c r="A18" s="435" t="s">
        <v>59</v>
      </c>
      <c r="G18" s="7"/>
    </row>
    <row r="19" spans="1:20" ht="15.9" customHeight="1" outlineLevel="2" x14ac:dyDescent="0.25">
      <c r="A19" s="32" t="s">
        <v>74</v>
      </c>
      <c r="B19" s="376">
        <f>+transcol!$D$43</f>
        <v>14091.86</v>
      </c>
      <c r="C19" s="401">
        <f>+B19/$J$4</f>
        <v>4893.0069444444453</v>
      </c>
      <c r="D19" s="14">
        <f>+transcol!D50</f>
        <v>-46083</v>
      </c>
      <c r="E19" s="70">
        <f>+C19-D19</f>
        <v>50976.006944444445</v>
      </c>
      <c r="F19" s="398">
        <f>+transcol!A43</f>
        <v>37126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" customHeight="1" outlineLevel="2" x14ac:dyDescent="0.25">
      <c r="A20" s="206" t="s">
        <v>98</v>
      </c>
      <c r="B20" s="378">
        <f>+burlington!D42</f>
        <v>6836.4700000000012</v>
      </c>
      <c r="C20" s="405">
        <f>+B20/$J$3</f>
        <v>2541.4386617100376</v>
      </c>
      <c r="D20" s="379">
        <f>+burlington!D49</f>
        <v>1205</v>
      </c>
      <c r="E20" s="72">
        <f>+C20-D20</f>
        <v>1336.4386617100376</v>
      </c>
      <c r="F20" s="397">
        <f>+burlington!A42</f>
        <v>37126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" customHeight="1" outlineLevel="2" x14ac:dyDescent="0.25">
      <c r="A21" s="153" t="s">
        <v>172</v>
      </c>
      <c r="B21" s="421">
        <f>SUBTOTAL(9,B19:B20)</f>
        <v>20928.330000000002</v>
      </c>
      <c r="C21" s="422">
        <f>SUBTOTAL(9,C19:C20)</f>
        <v>7434.4456061544824</v>
      </c>
      <c r="D21" s="432">
        <f>SUBTOTAL(9,D19:D20)</f>
        <v>-44878</v>
      </c>
      <c r="E21" s="433">
        <f>SUBTOTAL(9,E19:E20)</f>
        <v>52312.445606154484</v>
      </c>
      <c r="F21" s="397"/>
      <c r="G21" s="32"/>
      <c r="H21" s="32"/>
      <c r="I21" s="32"/>
      <c r="J21" s="32"/>
      <c r="K21" s="32"/>
    </row>
    <row r="22" spans="1:20" ht="15.9" customHeight="1" outlineLevel="2" x14ac:dyDescent="0.25"/>
    <row r="23" spans="1:20" ht="15.9" customHeight="1" outlineLevel="2" x14ac:dyDescent="0.25">
      <c r="A23" s="399" t="s">
        <v>173</v>
      </c>
      <c r="G23" s="7"/>
    </row>
    <row r="24" spans="1:20" ht="15.9" customHeight="1" outlineLevel="2" x14ac:dyDescent="0.25">
      <c r="A24" s="206" t="s">
        <v>90</v>
      </c>
      <c r="B24" s="375">
        <f>+NNG!$D$24</f>
        <v>399539.81</v>
      </c>
      <c r="C24" s="401">
        <f t="shared" ref="C24:C35" si="0">+B24/$J$4</f>
        <v>138729.10069444444</v>
      </c>
      <c r="D24" s="14">
        <f>+NNG!D34</f>
        <v>-25693</v>
      </c>
      <c r="E24" s="70">
        <f t="shared" ref="E24:E37" si="1">+C24-D24</f>
        <v>164422.10069444444</v>
      </c>
      <c r="F24" s="397">
        <f>+NNG!A24</f>
        <v>37125</v>
      </c>
      <c r="G24" s="424" t="s">
        <v>160</v>
      </c>
      <c r="H24" s="206" t="s">
        <v>103</v>
      </c>
      <c r="I24" s="32"/>
      <c r="J24" s="32"/>
      <c r="K24" s="32"/>
    </row>
    <row r="25" spans="1:20" ht="15.9" customHeight="1" outlineLevel="2" x14ac:dyDescent="0.25">
      <c r="A25" s="32" t="s">
        <v>83</v>
      </c>
      <c r="B25" s="375">
        <f>+Conoco!$F$41</f>
        <v>571534.59000000008</v>
      </c>
      <c r="C25" s="401">
        <f t="shared" si="0"/>
        <v>198449.51041666672</v>
      </c>
      <c r="D25" s="14">
        <f>+Conoco!D48</f>
        <v>80845</v>
      </c>
      <c r="E25" s="70">
        <f t="shared" si="1"/>
        <v>117604.51041666672</v>
      </c>
      <c r="F25" s="397">
        <f>+Conoco!A41</f>
        <v>37125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" customHeight="1" outlineLevel="2" x14ac:dyDescent="0.25">
      <c r="A26" s="32" t="s">
        <v>3</v>
      </c>
      <c r="B26" s="375">
        <f>+'Amoco Abo'!$F$43</f>
        <v>427140.04000000004</v>
      </c>
      <c r="C26" s="401">
        <f t="shared" si="0"/>
        <v>148312.51388888891</v>
      </c>
      <c r="D26" s="14">
        <f>+'Amoco Abo'!D49</f>
        <v>-240999</v>
      </c>
      <c r="E26" s="70">
        <f t="shared" si="1"/>
        <v>389311.51388888888</v>
      </c>
      <c r="F26" s="398">
        <f>+'Amoco Abo'!A43</f>
        <v>37125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" customHeight="1" outlineLevel="2" x14ac:dyDescent="0.25">
      <c r="A27" s="32" t="s">
        <v>110</v>
      </c>
      <c r="B27" s="375">
        <f>+KN_Westar!F41</f>
        <v>457776.47</v>
      </c>
      <c r="C27" s="401">
        <f t="shared" si="0"/>
        <v>158950.16319444444</v>
      </c>
      <c r="D27" s="14">
        <f>+KN_Westar!D48</f>
        <v>24864</v>
      </c>
      <c r="E27" s="70">
        <f t="shared" si="1"/>
        <v>134086.16319444444</v>
      </c>
      <c r="F27" s="398">
        <f>+KN_Westar!A41</f>
        <v>37125</v>
      </c>
      <c r="G27" s="205" t="s">
        <v>162</v>
      </c>
      <c r="H27" s="32" t="s">
        <v>103</v>
      </c>
      <c r="I27" s="32"/>
      <c r="J27" s="32"/>
      <c r="K27" s="32"/>
    </row>
    <row r="28" spans="1:20" ht="15.9" customHeight="1" outlineLevel="2" x14ac:dyDescent="0.25">
      <c r="A28" s="32" t="s">
        <v>131</v>
      </c>
      <c r="B28" s="375">
        <f>+DEFS!F53</f>
        <v>289177.11000000034</v>
      </c>
      <c r="C28" s="402">
        <f t="shared" si="0"/>
        <v>100408.71875000012</v>
      </c>
      <c r="D28" s="14">
        <f>+DEFS!M53</f>
        <v>440000</v>
      </c>
      <c r="E28" s="70">
        <f t="shared" si="1"/>
        <v>-339591.28124999988</v>
      </c>
      <c r="F28" s="398">
        <f>+DEFS!A40</f>
        <v>37125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" customHeight="1" outlineLevel="2" x14ac:dyDescent="0.25">
      <c r="A29" s="32" t="s">
        <v>113</v>
      </c>
      <c r="B29" s="375">
        <f>+CIG!D43</f>
        <v>428914.36</v>
      </c>
      <c r="C29" s="401">
        <f t="shared" si="0"/>
        <v>148928.59722222222</v>
      </c>
      <c r="D29" s="14">
        <f>+CIG!D49</f>
        <v>41761</v>
      </c>
      <c r="E29" s="70">
        <f t="shared" si="1"/>
        <v>107167.59722222222</v>
      </c>
      <c r="F29" s="398">
        <f>+CIG!A43</f>
        <v>37125</v>
      </c>
      <c r="G29" s="205" t="s">
        <v>162</v>
      </c>
      <c r="H29" s="32" t="s">
        <v>116</v>
      </c>
      <c r="I29" s="32"/>
      <c r="J29" s="32"/>
      <c r="K29" s="32"/>
    </row>
    <row r="30" spans="1:20" ht="18" customHeight="1" outlineLevel="1" x14ac:dyDescent="0.25">
      <c r="A30" s="32" t="s">
        <v>2</v>
      </c>
      <c r="B30" s="375">
        <f>+mewborne!$J$43</f>
        <v>331505.24</v>
      </c>
      <c r="C30" s="401">
        <f t="shared" si="0"/>
        <v>115105.98611111111</v>
      </c>
      <c r="D30" s="14">
        <f>+mewborne!D49</f>
        <v>132052</v>
      </c>
      <c r="E30" s="70">
        <f t="shared" si="1"/>
        <v>-16946.013888888891</v>
      </c>
      <c r="F30" s="398">
        <f>+mewborne!A43</f>
        <v>37125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5">
      <c r="A31" s="32" t="s">
        <v>154</v>
      </c>
      <c r="B31" s="375">
        <f>+PGETX!$H$39</f>
        <v>478734.57</v>
      </c>
      <c r="C31" s="401">
        <f t="shared" si="0"/>
        <v>166227.28125</v>
      </c>
      <c r="D31" s="14">
        <f>+PGETX!E48</f>
        <v>117451</v>
      </c>
      <c r="E31" s="70">
        <f t="shared" si="1"/>
        <v>48776.28125</v>
      </c>
      <c r="F31" s="398">
        <f>+PGETX!E39</f>
        <v>37125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5">
      <c r="A32" s="32" t="s">
        <v>85</v>
      </c>
      <c r="B32" s="375">
        <f>+PNM!$D$23</f>
        <v>163534.38999999998</v>
      </c>
      <c r="C32" s="401">
        <f t="shared" si="0"/>
        <v>56782.774305555555</v>
      </c>
      <c r="D32" s="14">
        <f>+PNM!D30</f>
        <v>21354</v>
      </c>
      <c r="E32" s="70">
        <f t="shared" si="1"/>
        <v>35428.774305555555</v>
      </c>
      <c r="F32" s="398">
        <f>+PNM!A23</f>
        <v>37123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5">
      <c r="A33" s="32" t="s">
        <v>106</v>
      </c>
      <c r="B33" s="375">
        <f>+EOG!J41</f>
        <v>74249.320000000007</v>
      </c>
      <c r="C33" s="401">
        <f t="shared" si="0"/>
        <v>25781.013888888891</v>
      </c>
      <c r="D33" s="14">
        <f>+EOG!D48</f>
        <v>-86358</v>
      </c>
      <c r="E33" s="70">
        <f t="shared" si="1"/>
        <v>112139.01388888889</v>
      </c>
      <c r="F33" s="397">
        <f>+EOG!A41</f>
        <v>37123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5">
      <c r="A34" s="32" t="s">
        <v>136</v>
      </c>
      <c r="B34" s="375">
        <f>+SidR!D41</f>
        <v>3224.36</v>
      </c>
      <c r="C34" s="401">
        <f t="shared" si="0"/>
        <v>1119.5694444444446</v>
      </c>
      <c r="D34" s="14">
        <f>+SidR!D48</f>
        <v>54445</v>
      </c>
      <c r="E34" s="70">
        <f t="shared" si="1"/>
        <v>-53325.430555555555</v>
      </c>
      <c r="F34" s="398">
        <f>+SidR!A41</f>
        <v>37126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5">
      <c r="A35" s="32" t="s">
        <v>112</v>
      </c>
      <c r="B35" s="375">
        <f>+Continental!F43</f>
        <v>-5216.57</v>
      </c>
      <c r="C35" s="402">
        <f t="shared" si="0"/>
        <v>-1811.3090277777778</v>
      </c>
      <c r="D35" s="14">
        <f>+Continental!D50</f>
        <v>-17302</v>
      </c>
      <c r="E35" s="70">
        <f t="shared" si="1"/>
        <v>15490.690972222223</v>
      </c>
      <c r="F35" s="398">
        <f>+Continental!A43</f>
        <v>37123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5">
      <c r="A36" s="32" t="s">
        <v>134</v>
      </c>
      <c r="B36" s="375">
        <f>+EPFS!D41</f>
        <v>-117969.70000000001</v>
      </c>
      <c r="C36" s="402">
        <f>+B36/$J$5</f>
        <v>-39587.147651006715</v>
      </c>
      <c r="D36" s="14">
        <f>+EPFS!D47</f>
        <v>-28899</v>
      </c>
      <c r="E36" s="70">
        <f t="shared" si="1"/>
        <v>-10688.147651006715</v>
      </c>
      <c r="F36" s="397">
        <f>+EPFS!A41</f>
        <v>37125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5">
      <c r="A37" s="206" t="s">
        <v>82</v>
      </c>
      <c r="B37" s="378">
        <f>+Agave!$D$24</f>
        <v>-159048.03</v>
      </c>
      <c r="C37" s="403">
        <f>+B37/$J$4</f>
        <v>-55225.010416666672</v>
      </c>
      <c r="D37" s="379">
        <f>+Agave!D31</f>
        <v>-91212</v>
      </c>
      <c r="E37" s="72">
        <f t="shared" si="1"/>
        <v>35986.989583333328</v>
      </c>
      <c r="F37" s="397">
        <f>+Agave!A24</f>
        <v>37123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5">
      <c r="A38" s="153" t="s">
        <v>175</v>
      </c>
      <c r="B38" s="421">
        <f>SUBTOTAL(9,B24:B37)</f>
        <v>3343095.96</v>
      </c>
      <c r="C38" s="431">
        <f>SUBTOTAL(9,C24:C37)</f>
        <v>1162171.7620712158</v>
      </c>
      <c r="D38" s="432">
        <f>SUBTOTAL(9,D24:D37)</f>
        <v>422309</v>
      </c>
      <c r="E38" s="433">
        <f>SUBTOTAL(9,E24:E37)</f>
        <v>739862.76207121578</v>
      </c>
      <c r="F38" s="397"/>
      <c r="G38" s="382"/>
      <c r="H38" s="32"/>
      <c r="I38" s="206"/>
      <c r="J38" s="32"/>
      <c r="K38" s="32"/>
      <c r="L38" s="32"/>
    </row>
    <row r="39" spans="1:12" ht="12" customHeight="1" x14ac:dyDescent="0.25">
      <c r="A39" s="206"/>
      <c r="H39" s="32"/>
      <c r="I39" s="206"/>
      <c r="J39" s="32"/>
      <c r="K39" s="32"/>
      <c r="L39" s="32"/>
    </row>
    <row r="40" spans="1:12" ht="17.100000000000001" customHeight="1" x14ac:dyDescent="0.25">
      <c r="A40" s="153" t="s">
        <v>176</v>
      </c>
      <c r="B40" s="421">
        <f>SUBTOTAL(9,B12:B37)</f>
        <v>2058012.0100000005</v>
      </c>
      <c r="C40" s="431">
        <f>SUBTOTAL(9,C12:C37)</f>
        <v>716129.72156625905</v>
      </c>
      <c r="D40" s="432">
        <f>SUBTOTAL(9,D12:D37)</f>
        <v>175100</v>
      </c>
      <c r="E40" s="433">
        <f>SUBTOTAL(9,E12:E37)</f>
        <v>541029.72156625916</v>
      </c>
      <c r="F40" s="397"/>
      <c r="G40" s="206"/>
      <c r="H40" s="32"/>
      <c r="I40" s="206"/>
      <c r="J40" s="32"/>
      <c r="K40" s="32"/>
      <c r="L40" s="32"/>
    </row>
    <row r="41" spans="1:12" ht="17.100000000000001" customHeight="1" x14ac:dyDescent="0.25">
      <c r="A41" s="374"/>
      <c r="B41" s="375"/>
      <c r="C41" s="402"/>
      <c r="D41" s="208"/>
      <c r="E41" s="283"/>
      <c r="F41" s="397"/>
      <c r="G41" s="206"/>
      <c r="H41" s="32"/>
      <c r="I41" s="206"/>
      <c r="J41" s="32"/>
      <c r="K41" s="32"/>
      <c r="L41" s="32"/>
    </row>
    <row r="42" spans="1:12" ht="14.1" customHeight="1" x14ac:dyDescent="0.25">
      <c r="A42" s="428"/>
      <c r="B42" s="429"/>
      <c r="C42" s="430"/>
      <c r="D42" s="304"/>
      <c r="E42" s="304"/>
      <c r="F42" s="304"/>
    </row>
    <row r="43" spans="1:12" ht="12.9" customHeight="1" x14ac:dyDescent="0.25">
      <c r="A43" s="206"/>
      <c r="B43" s="375"/>
      <c r="C43" s="401"/>
      <c r="D43" s="401"/>
      <c r="E43" s="401"/>
      <c r="F43" s="382"/>
      <c r="G43" s="32"/>
      <c r="I43" s="32"/>
      <c r="J43" s="32"/>
      <c r="K43" s="32"/>
      <c r="L43" s="32"/>
    </row>
    <row r="44" spans="1:12" ht="14.1" customHeight="1" x14ac:dyDescent="0.25"/>
    <row r="45" spans="1:12" ht="12.9" customHeight="1" x14ac:dyDescent="0.25"/>
    <row r="46" spans="1:12" ht="13.5" customHeight="1" x14ac:dyDescent="0.25"/>
    <row r="47" spans="1:12" ht="13.5" customHeight="1" outlineLevel="2" x14ac:dyDescent="0.25">
      <c r="A47" s="34" t="s">
        <v>145</v>
      </c>
      <c r="D47" s="7"/>
      <c r="I47" s="416" t="s">
        <v>81</v>
      </c>
      <c r="J47" s="419"/>
      <c r="K47" s="32"/>
    </row>
    <row r="48" spans="1:12" ht="13.5" customHeight="1" outlineLevel="2" x14ac:dyDescent="0.25">
      <c r="D48" s="7"/>
      <c r="I48" s="417" t="s">
        <v>30</v>
      </c>
      <c r="J48" s="420">
        <f>+J3</f>
        <v>2.69</v>
      </c>
      <c r="K48" s="440">
        <f ca="1">NOW()</f>
        <v>37127.668055671296</v>
      </c>
    </row>
    <row r="49" spans="1:19" ht="13.5" customHeight="1" outlineLevel="2" x14ac:dyDescent="0.25">
      <c r="A49" s="34" t="s">
        <v>152</v>
      </c>
      <c r="C49" s="34" t="s">
        <v>5</v>
      </c>
      <c r="D49" s="7"/>
      <c r="I49" s="418" t="s">
        <v>31</v>
      </c>
      <c r="J49" s="420">
        <f>+J4</f>
        <v>2.88</v>
      </c>
      <c r="K49" s="32"/>
    </row>
    <row r="50" spans="1:19" ht="13.5" customHeight="1" outlineLevel="1" x14ac:dyDescent="0.25">
      <c r="D50" s="7"/>
      <c r="I50" s="417" t="s">
        <v>120</v>
      </c>
      <c r="J50" s="420">
        <f>+J5</f>
        <v>2.98</v>
      </c>
      <c r="K50" s="32"/>
    </row>
    <row r="51" spans="1:19" ht="13.5" customHeight="1" outlineLevel="2" x14ac:dyDescent="0.25"/>
    <row r="52" spans="1:19" ht="13.5" customHeight="1" outlineLevel="2" x14ac:dyDescent="0.25">
      <c r="A52" s="438" t="s">
        <v>180</v>
      </c>
      <c r="B52" s="439"/>
    </row>
    <row r="53" spans="1:19" ht="13.5" customHeight="1" outlineLevel="2" x14ac:dyDescent="0.25">
      <c r="A53" s="32"/>
      <c r="C53" s="441" t="s">
        <v>166</v>
      </c>
      <c r="D53" s="12" t="s">
        <v>183</v>
      </c>
      <c r="E53" s="12" t="s">
        <v>185</v>
      </c>
      <c r="F53" s="2" t="s">
        <v>155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ht="13.5" customHeight="1" outlineLevel="2" x14ac:dyDescent="0.25">
      <c r="A54" s="399" t="s">
        <v>92</v>
      </c>
      <c r="B54" s="437" t="s">
        <v>0</v>
      </c>
      <c r="C54" s="411" t="s">
        <v>182</v>
      </c>
      <c r="D54" s="39" t="s">
        <v>184</v>
      </c>
      <c r="E54" s="39" t="s">
        <v>186</v>
      </c>
      <c r="F54" s="39" t="s">
        <v>153</v>
      </c>
      <c r="G54" s="423" t="s">
        <v>159</v>
      </c>
      <c r="H54" s="400" t="s">
        <v>104</v>
      </c>
      <c r="I54" s="399" t="s">
        <v>101</v>
      </c>
      <c r="J54" s="32"/>
      <c r="K54" s="32"/>
      <c r="L54" s="32"/>
      <c r="N54" s="32"/>
      <c r="O54" s="32"/>
      <c r="P54" s="32"/>
      <c r="Q54" s="32"/>
      <c r="R54" s="32"/>
      <c r="S54" s="32"/>
    </row>
    <row r="55" spans="1:19" ht="13.5" customHeight="1" outlineLevel="2" x14ac:dyDescent="0.25">
      <c r="B55" s="296"/>
      <c r="C55" s="252"/>
    </row>
    <row r="56" spans="1:19" ht="13.5" customHeight="1" outlineLevel="1" x14ac:dyDescent="0.25">
      <c r="A56" s="399" t="s">
        <v>169</v>
      </c>
      <c r="B56" s="296"/>
      <c r="C56" s="252"/>
    </row>
    <row r="57" spans="1:19" ht="13.5" customHeight="1" outlineLevel="2" x14ac:dyDescent="0.25">
      <c r="A57" s="32" t="s">
        <v>97</v>
      </c>
      <c r="B57" s="401">
        <f>+Mojave!D40</f>
        <v>147090</v>
      </c>
      <c r="C57" s="375">
        <f>+B57*$J$4</f>
        <v>423619.2</v>
      </c>
      <c r="D57" s="47">
        <f>+Mojave!D47</f>
        <v>114646.56</v>
      </c>
      <c r="E57" s="47">
        <f>+C57-D57</f>
        <v>308972.64</v>
      </c>
      <c r="F57" s="398">
        <f>+Mojave!A40</f>
        <v>37125</v>
      </c>
      <c r="H57" s="32" t="s">
        <v>103</v>
      </c>
      <c r="I57" s="32" t="s">
        <v>189</v>
      </c>
      <c r="J57" s="32"/>
      <c r="K57" s="32"/>
    </row>
    <row r="58" spans="1:19" ht="15" customHeight="1" outlineLevel="2" x14ac:dyDescent="0.25">
      <c r="A58" s="32" t="s">
        <v>33</v>
      </c>
      <c r="B58" s="402">
        <f>+SoCal!F40</f>
        <v>177575</v>
      </c>
      <c r="C58" s="375">
        <f>+B58*$J$4</f>
        <v>511416</v>
      </c>
      <c r="D58" s="47">
        <f>+SoCal!D47</f>
        <v>541936.14</v>
      </c>
      <c r="E58" s="47">
        <f>+C58-D58</f>
        <v>-30520.140000000014</v>
      </c>
      <c r="F58" s="398">
        <f>+SoCal!A40</f>
        <v>37125</v>
      </c>
      <c r="H58" s="32" t="s">
        <v>105</v>
      </c>
      <c r="I58" s="32"/>
      <c r="J58" s="32"/>
      <c r="K58" s="32"/>
    </row>
    <row r="59" spans="1:19" ht="15" customHeight="1" outlineLevel="1" x14ac:dyDescent="0.25">
      <c r="A59" s="32" t="s">
        <v>117</v>
      </c>
      <c r="B59" s="403">
        <f>+'PG&amp;E'!D40</f>
        <v>27663</v>
      </c>
      <c r="C59" s="378">
        <f>+B59*$J$4</f>
        <v>79669.440000000002</v>
      </c>
      <c r="D59" s="378">
        <f>+'PG&amp;E'!D47</f>
        <v>-148125.94</v>
      </c>
      <c r="E59" s="378">
        <f>+C59-D59</f>
        <v>227795.38</v>
      </c>
      <c r="F59" s="398">
        <f>+'PG&amp;E'!A40</f>
        <v>37125</v>
      </c>
      <c r="H59" s="32" t="s">
        <v>105</v>
      </c>
      <c r="I59" s="32"/>
      <c r="J59" s="32"/>
      <c r="K59" s="32"/>
    </row>
    <row r="60" spans="1:19" ht="15" customHeight="1" x14ac:dyDescent="0.25">
      <c r="A60" s="2" t="s">
        <v>170</v>
      </c>
      <c r="B60" s="431">
        <f>SUBTOTAL(9,B57:B59)</f>
        <v>352328</v>
      </c>
      <c r="C60" s="421">
        <f>SUBTOTAL(9,C57:C59)</f>
        <v>1014704.6399999999</v>
      </c>
      <c r="D60" s="421">
        <f>SUBTOTAL(9,D57:D59)</f>
        <v>508456.75999999995</v>
      </c>
      <c r="E60" s="421">
        <f>SUBTOTAL(9,E57:E59)</f>
        <v>506247.88</v>
      </c>
      <c r="F60" s="398"/>
      <c r="G60" s="205"/>
      <c r="H60" s="32"/>
      <c r="I60" s="32"/>
      <c r="J60" s="32"/>
      <c r="K60" s="32"/>
    </row>
    <row r="61" spans="1:19" ht="12.9" customHeight="1" x14ac:dyDescent="0.25">
      <c r="B61" s="296"/>
      <c r="C61" s="252"/>
      <c r="G61" s="205"/>
    </row>
    <row r="62" spans="1:19" ht="15" customHeight="1" x14ac:dyDescent="0.25">
      <c r="A62" s="399" t="s">
        <v>59</v>
      </c>
      <c r="B62" s="296"/>
      <c r="C62" s="252"/>
      <c r="G62" s="205"/>
    </row>
    <row r="63" spans="1:19" x14ac:dyDescent="0.25">
      <c r="A63" s="206" t="s">
        <v>29</v>
      </c>
      <c r="B63" s="401">
        <f>+williams!J40</f>
        <v>293835</v>
      </c>
      <c r="C63" s="375">
        <f>+B63*$J$3</f>
        <v>790416.15</v>
      </c>
      <c r="D63" s="47">
        <f>+williams!D48</f>
        <v>1335064.8</v>
      </c>
      <c r="E63" s="47">
        <f>+C63-D63</f>
        <v>-544648.65</v>
      </c>
      <c r="F63" s="397">
        <f>+williams!A40</f>
        <v>37126</v>
      </c>
      <c r="G63" s="205" t="s">
        <v>161</v>
      </c>
      <c r="H63" s="206" t="s">
        <v>151</v>
      </c>
      <c r="I63" s="32" t="s">
        <v>192</v>
      </c>
      <c r="J63" s="32"/>
      <c r="K63" s="32"/>
    </row>
    <row r="64" spans="1:19" x14ac:dyDescent="0.25">
      <c r="A64" s="32" t="s">
        <v>24</v>
      </c>
      <c r="B64" s="401">
        <f>+'Red C'!F43</f>
        <v>138201</v>
      </c>
      <c r="C64" s="376">
        <f>+B64*J3</f>
        <v>371760.69</v>
      </c>
      <c r="D64" s="202">
        <f>+'Red C'!D52</f>
        <v>665804.4</v>
      </c>
      <c r="E64" s="47">
        <f>+C64-D64</f>
        <v>-294043.71000000002</v>
      </c>
      <c r="F64" s="397">
        <f>+'Red C'!B43</f>
        <v>37126</v>
      </c>
      <c r="G64" s="205" t="s">
        <v>161</v>
      </c>
      <c r="H64" s="32" t="s">
        <v>118</v>
      </c>
      <c r="I64" s="32" t="s">
        <v>190</v>
      </c>
      <c r="J64" s="32"/>
      <c r="K64" s="32"/>
    </row>
    <row r="65" spans="1:12" x14ac:dyDescent="0.25">
      <c r="A65" s="32" t="s">
        <v>6</v>
      </c>
      <c r="B65" s="401">
        <f>+Amoco!D40</f>
        <v>102520</v>
      </c>
      <c r="C65" s="375">
        <f>+B65*$J$3</f>
        <v>275778.8</v>
      </c>
      <c r="D65" s="47">
        <f>+Amoco!D47</f>
        <v>539895.06000000006</v>
      </c>
      <c r="E65" s="47">
        <f>+C65-D65</f>
        <v>-264116.26000000007</v>
      </c>
      <c r="F65" s="398">
        <f>+Amoco!A40</f>
        <v>37126</v>
      </c>
      <c r="G65" s="205" t="s">
        <v>161</v>
      </c>
      <c r="H65" s="32" t="s">
        <v>118</v>
      </c>
      <c r="I65" s="32" t="s">
        <v>191</v>
      </c>
      <c r="J65" s="32"/>
      <c r="K65" s="32"/>
    </row>
    <row r="66" spans="1:12" x14ac:dyDescent="0.25">
      <c r="A66" s="32" t="s">
        <v>34</v>
      </c>
      <c r="B66" s="401">
        <f>+'El Paso'!H39</f>
        <v>9936</v>
      </c>
      <c r="C66" s="375">
        <f>+'El Paso'!E39*summary!H3+'El Paso'!C39*summary!H4</f>
        <v>38917.48000000001</v>
      </c>
      <c r="D66" s="47">
        <f>+'El Paso'!F46</f>
        <v>-616634.85999999987</v>
      </c>
      <c r="E66" s="47">
        <f>+C66-D66</f>
        <v>655552.33999999985</v>
      </c>
      <c r="F66" s="398">
        <f>+'El Paso'!A39</f>
        <v>37125</v>
      </c>
      <c r="G66" s="478"/>
      <c r="H66" s="32" t="s">
        <v>103</v>
      </c>
      <c r="I66" s="32" t="s">
        <v>193</v>
      </c>
      <c r="J66" s="32"/>
      <c r="K66" s="32"/>
    </row>
    <row r="67" spans="1:12" x14ac:dyDescent="0.25">
      <c r="A67" s="32" t="s">
        <v>1</v>
      </c>
      <c r="B67" s="403">
        <f>+NW!$F$41</f>
        <v>76004</v>
      </c>
      <c r="C67" s="378">
        <f>+B67*$J$3</f>
        <v>204450.76</v>
      </c>
      <c r="D67" s="378">
        <f>+NW!E49</f>
        <v>-297066.58</v>
      </c>
      <c r="E67" s="378">
        <f>+C67-D67</f>
        <v>501517.34</v>
      </c>
      <c r="F67" s="397">
        <f>+NW!B41</f>
        <v>37125</v>
      </c>
      <c r="G67" s="205" t="s">
        <v>161</v>
      </c>
      <c r="H67" s="32" t="s">
        <v>118</v>
      </c>
      <c r="I67" s="32"/>
      <c r="J67" s="32"/>
      <c r="K67" s="32"/>
    </row>
    <row r="68" spans="1:12" x14ac:dyDescent="0.25">
      <c r="A68" s="32" t="s">
        <v>171</v>
      </c>
      <c r="B68" s="431">
        <f>SUBTOTAL(9,B63:B67)</f>
        <v>620496</v>
      </c>
      <c r="C68" s="421">
        <f>SUBTOTAL(9,C63:C67)</f>
        <v>1681323.8800000001</v>
      </c>
      <c r="D68" s="421">
        <f>SUBTOTAL(9,D63:D67)</f>
        <v>1627062.8200000003</v>
      </c>
      <c r="E68" s="421">
        <f>SUBTOTAL(9,E63:E67)</f>
        <v>54261.059999999765</v>
      </c>
      <c r="F68" s="397"/>
      <c r="G68" s="205"/>
      <c r="H68" s="32"/>
      <c r="I68" s="32"/>
      <c r="J68" s="32"/>
      <c r="K68" s="32"/>
    </row>
    <row r="69" spans="1:12" x14ac:dyDescent="0.25">
      <c r="B69" s="296"/>
      <c r="C69" s="252"/>
      <c r="G69" s="205"/>
    </row>
    <row r="70" spans="1:12" x14ac:dyDescent="0.25">
      <c r="A70" s="399" t="s">
        <v>173</v>
      </c>
      <c r="B70" s="296"/>
      <c r="C70" s="252"/>
      <c r="G70" s="205"/>
    </row>
    <row r="71" spans="1:12" x14ac:dyDescent="0.25">
      <c r="A71" s="32" t="s">
        <v>91</v>
      </c>
      <c r="B71" s="401">
        <f>+NGPL!F38</f>
        <v>137813</v>
      </c>
      <c r="C71" s="375">
        <f>+B71*$J$4</f>
        <v>396901.44</v>
      </c>
      <c r="D71" s="47">
        <f>+NGPL!D45</f>
        <v>349092.36</v>
      </c>
      <c r="E71" s="47">
        <f>+C71-D71</f>
        <v>47809.080000000016</v>
      </c>
      <c r="F71" s="398">
        <f>+NGPL!A38</f>
        <v>37125</v>
      </c>
      <c r="G71" s="205"/>
      <c r="H71" s="32" t="s">
        <v>118</v>
      </c>
      <c r="I71" s="32"/>
      <c r="J71" s="32"/>
      <c r="K71" s="32"/>
    </row>
    <row r="72" spans="1:12" x14ac:dyDescent="0.25">
      <c r="A72" s="32" t="s">
        <v>148</v>
      </c>
      <c r="B72" s="401">
        <f>+PEPL!D41</f>
        <v>64490</v>
      </c>
      <c r="C72" s="376">
        <f>+B72*$J$4</f>
        <v>185731.19999999998</v>
      </c>
      <c r="D72" s="47">
        <f>+PEPL!D47</f>
        <v>307135.5</v>
      </c>
      <c r="E72" s="47">
        <f>+C72-D72</f>
        <v>-121404.30000000002</v>
      </c>
      <c r="F72" s="398">
        <f>+PEPL!A41</f>
        <v>37125</v>
      </c>
      <c r="H72" s="32" t="s">
        <v>103</v>
      </c>
      <c r="I72" s="32" t="s">
        <v>147</v>
      </c>
      <c r="J72" s="32"/>
      <c r="K72" s="32"/>
    </row>
    <row r="73" spans="1:12" x14ac:dyDescent="0.25">
      <c r="A73" s="32" t="s">
        <v>7</v>
      </c>
      <c r="B73" s="402">
        <f>+Oasis!D40</f>
        <v>42849</v>
      </c>
      <c r="C73" s="375">
        <f>+B73*$J$4</f>
        <v>123405.12</v>
      </c>
      <c r="D73" s="47">
        <f>+Oasis!D47</f>
        <v>-264884.75</v>
      </c>
      <c r="E73" s="47">
        <f>+C73-D73</f>
        <v>388289.87</v>
      </c>
      <c r="F73" s="398">
        <f>+Oasis!B40</f>
        <v>37125</v>
      </c>
      <c r="H73" s="32" t="s">
        <v>105</v>
      </c>
      <c r="I73" s="32"/>
      <c r="J73" s="32"/>
      <c r="K73" s="32"/>
    </row>
    <row r="74" spans="1:12" x14ac:dyDescent="0.25">
      <c r="A74" s="32" t="s">
        <v>32</v>
      </c>
      <c r="B74" s="405">
        <f>+Lonestar!F42</f>
        <v>62105</v>
      </c>
      <c r="C74" s="378">
        <f>+B74*$J$4</f>
        <v>178862.4</v>
      </c>
      <c r="D74" s="378">
        <f>+Lonestar!D49</f>
        <v>44237.67</v>
      </c>
      <c r="E74" s="378">
        <f>+C74-D74</f>
        <v>134624.72999999998</v>
      </c>
      <c r="F74" s="397">
        <f>+Lonestar!B42</f>
        <v>37123</v>
      </c>
      <c r="H74" s="32" t="s">
        <v>105</v>
      </c>
      <c r="I74" s="32"/>
      <c r="J74" s="32"/>
      <c r="K74" s="32"/>
    </row>
    <row r="75" spans="1:12" x14ac:dyDescent="0.25">
      <c r="A75" s="2" t="s">
        <v>174</v>
      </c>
      <c r="B75" s="422">
        <f>SUBTOTAL(9,B71:B74)</f>
        <v>307257</v>
      </c>
      <c r="C75" s="421">
        <f>SUBTOTAL(9,C71:C74)</f>
        <v>884900.16</v>
      </c>
      <c r="D75" s="421">
        <f>SUBTOTAL(9,D71:D74)</f>
        <v>435580.77999999997</v>
      </c>
      <c r="E75" s="421">
        <f>SUBTOTAL(9,E71:E74)</f>
        <v>449319.38</v>
      </c>
      <c r="F75" s="397"/>
      <c r="H75" s="32"/>
      <c r="I75" s="32"/>
      <c r="J75" s="32"/>
      <c r="K75" s="32"/>
    </row>
    <row r="76" spans="1:12" x14ac:dyDescent="0.25">
      <c r="B76" s="296"/>
      <c r="C76" s="252"/>
    </row>
    <row r="77" spans="1:12" x14ac:dyDescent="0.25">
      <c r="A77" s="2" t="s">
        <v>181</v>
      </c>
      <c r="B77" s="422">
        <f>SUBTOTAL(9,B57:B74)</f>
        <v>1280081</v>
      </c>
      <c r="C77" s="421">
        <f>SUBTOTAL(9,C57:C74)</f>
        <v>3580928.6799999997</v>
      </c>
      <c r="D77" s="421">
        <f>SUBTOTAL(9,D57:D74)</f>
        <v>2571100.36</v>
      </c>
      <c r="E77" s="421">
        <f>SUBTOTAL(9,E57:E74)</f>
        <v>1009828.3199999997</v>
      </c>
      <c r="F77" s="397"/>
      <c r="H77" s="32"/>
      <c r="I77" s="32"/>
      <c r="J77" s="32"/>
      <c r="K77" s="32"/>
    </row>
    <row r="78" spans="1:12" x14ac:dyDescent="0.25">
      <c r="A78" s="32"/>
      <c r="B78" s="375"/>
      <c r="C78" s="402"/>
      <c r="D78" s="375"/>
      <c r="E78" s="375"/>
      <c r="F78" s="397"/>
      <c r="H78" s="32"/>
      <c r="I78" s="32"/>
      <c r="J78" s="32"/>
      <c r="K78" s="32"/>
    </row>
    <row r="79" spans="1:12" x14ac:dyDescent="0.25">
      <c r="A79" s="32"/>
      <c r="B79" s="378"/>
      <c r="C79" s="401"/>
      <c r="D79" s="304"/>
      <c r="E79" s="304"/>
      <c r="F79" s="397"/>
      <c r="G79" s="32"/>
      <c r="I79" s="32"/>
      <c r="J79" s="32"/>
      <c r="K79" s="32"/>
      <c r="L79" s="32"/>
    </row>
    <row r="80" spans="1:12" ht="13.8" thickBot="1" x14ac:dyDescent="0.3">
      <c r="A80" s="2" t="s">
        <v>187</v>
      </c>
      <c r="B80" s="434">
        <f>+C77+B40</f>
        <v>5638940.6900000004</v>
      </c>
      <c r="C80" s="208"/>
      <c r="D80" s="375"/>
      <c r="E80" s="375"/>
      <c r="F80" s="382"/>
      <c r="H80" s="32"/>
      <c r="I80" s="32"/>
      <c r="J80" s="32"/>
      <c r="K80" s="32"/>
    </row>
    <row r="81" spans="1:10" ht="13.8" thickTop="1" x14ac:dyDescent="0.25">
      <c r="A81" s="2" t="s">
        <v>188</v>
      </c>
      <c r="B81" s="14">
        <f>+B77+C40</f>
        <v>1996210.7215662589</v>
      </c>
      <c r="C81" s="404"/>
      <c r="D81" s="304"/>
      <c r="E81" s="304"/>
      <c r="F81" s="382"/>
      <c r="G81" s="32"/>
      <c r="H81" s="32"/>
      <c r="I81" s="32"/>
      <c r="J81" s="32"/>
    </row>
    <row r="82" spans="1:10" x14ac:dyDescent="0.25">
      <c r="A82" s="32"/>
      <c r="B82" s="47"/>
      <c r="C82" s="406"/>
      <c r="D82" s="304"/>
      <c r="E82" s="304"/>
      <c r="F82" s="206"/>
      <c r="G82" s="32"/>
      <c r="H82" s="32"/>
      <c r="I82" s="32"/>
      <c r="J82" s="32"/>
    </row>
    <row r="83" spans="1:10" x14ac:dyDescent="0.25">
      <c r="A83" s="32"/>
      <c r="B83" s="47"/>
      <c r="C83" s="69"/>
      <c r="E83" s="32"/>
      <c r="F83" s="32"/>
      <c r="G83" s="32"/>
      <c r="H83" s="32"/>
      <c r="I83" s="32"/>
    </row>
    <row r="84" spans="1:10" x14ac:dyDescent="0.25">
      <c r="A84" s="32"/>
      <c r="B84" s="47"/>
      <c r="C84" s="69"/>
      <c r="D84" s="32"/>
      <c r="E84" s="32"/>
      <c r="F84" s="32"/>
      <c r="G84" s="32"/>
      <c r="H84" s="32"/>
    </row>
    <row r="85" spans="1:10" x14ac:dyDescent="0.25">
      <c r="A85" s="32"/>
      <c r="B85" s="202"/>
      <c r="C85" s="305"/>
      <c r="D85" s="16"/>
      <c r="E85" s="32"/>
      <c r="F85" s="32"/>
      <c r="G85" s="32"/>
      <c r="H85" s="32"/>
    </row>
    <row r="91" spans="1:10" x14ac:dyDescent="0.25">
      <c r="A91" s="32"/>
      <c r="B91" s="202"/>
      <c r="C91" s="69"/>
      <c r="D91" s="70"/>
      <c r="E91" s="32"/>
      <c r="F91" s="32"/>
      <c r="G91" s="32"/>
      <c r="H91" s="32"/>
    </row>
    <row r="92" spans="1:10" x14ac:dyDescent="0.25">
      <c r="A92" s="32"/>
      <c r="B92" s="47"/>
      <c r="C92" s="14"/>
      <c r="D92" s="32"/>
      <c r="E92" s="32"/>
      <c r="F92" s="32"/>
      <c r="G92" s="32"/>
      <c r="H92" s="32"/>
    </row>
    <row r="93" spans="1:10" x14ac:dyDescent="0.25">
      <c r="A93" s="32"/>
      <c r="B93" s="47"/>
      <c r="C93" s="14"/>
      <c r="D93" s="32"/>
      <c r="E93" s="32"/>
      <c r="F93" s="32"/>
      <c r="G93" s="32"/>
      <c r="H93" s="32"/>
    </row>
    <row r="94" spans="1:10" x14ac:dyDescent="0.25">
      <c r="A94" s="32"/>
      <c r="B94" s="202"/>
      <c r="C94" s="14"/>
      <c r="D94" s="70"/>
      <c r="E94" s="32"/>
      <c r="F94" s="32"/>
      <c r="G94" s="32"/>
      <c r="H94" s="32"/>
    </row>
    <row r="95" spans="1:10" x14ac:dyDescent="0.25">
      <c r="A95" s="32"/>
      <c r="B95" s="202"/>
      <c r="C95" s="69"/>
      <c r="D95" s="70"/>
      <c r="E95" s="32"/>
      <c r="F95" s="32"/>
      <c r="G95" s="32"/>
      <c r="H95" s="32"/>
    </row>
    <row r="96" spans="1:10" x14ac:dyDescent="0.25">
      <c r="A96" s="32"/>
      <c r="B96" s="202"/>
      <c r="C96" s="69"/>
      <c r="D96" s="32"/>
      <c r="E96" s="32"/>
      <c r="F96" s="32"/>
      <c r="G96" s="32"/>
      <c r="H96" s="32"/>
    </row>
    <row r="97" spans="1:8" x14ac:dyDescent="0.25">
      <c r="A97" s="32"/>
      <c r="B97" s="202"/>
      <c r="C97" s="395"/>
      <c r="D97" s="32"/>
      <c r="E97" s="32"/>
      <c r="F97" s="32"/>
      <c r="G97" s="32"/>
      <c r="H97" s="32"/>
    </row>
    <row r="98" spans="1:8" x14ac:dyDescent="0.25">
      <c r="A98" s="32"/>
      <c r="B98" s="47"/>
      <c r="C98" s="69"/>
      <c r="D98" s="32"/>
      <c r="E98" s="32"/>
      <c r="F98" s="32"/>
      <c r="G98" s="32"/>
      <c r="H98" s="32"/>
    </row>
    <row r="99" spans="1:8" x14ac:dyDescent="0.25">
      <c r="A99" s="32"/>
      <c r="B99" s="47"/>
      <c r="D99" s="32"/>
      <c r="E99" s="32"/>
      <c r="F99" s="32"/>
      <c r="G99" s="32"/>
      <c r="H99" s="32"/>
    </row>
    <row r="100" spans="1:8" x14ac:dyDescent="0.25">
      <c r="A100" s="32"/>
      <c r="B100" s="47"/>
      <c r="D100" s="32"/>
      <c r="E100" s="32"/>
      <c r="F100" s="32"/>
      <c r="G100" s="32"/>
      <c r="H100" s="32"/>
    </row>
    <row r="101" spans="1:8" x14ac:dyDescent="0.25">
      <c r="A101" s="32"/>
      <c r="B101" s="47"/>
      <c r="D101" s="32"/>
      <c r="E101" s="32"/>
      <c r="F101" s="32"/>
      <c r="G101" s="32"/>
      <c r="H101" s="32"/>
    </row>
    <row r="102" spans="1:8" x14ac:dyDescent="0.25">
      <c r="A102" s="32"/>
      <c r="B102" s="47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C123" s="69"/>
      <c r="D123" s="32"/>
      <c r="E123" s="32"/>
      <c r="F123" s="32"/>
      <c r="G123" s="32"/>
      <c r="H123" s="32"/>
    </row>
    <row r="124" spans="1:8" x14ac:dyDescent="0.25">
      <c r="A124" s="32"/>
      <c r="B124" s="47"/>
      <c r="C124" s="69"/>
      <c r="D124" s="32"/>
      <c r="E124" s="32"/>
      <c r="F124" s="32"/>
      <c r="G124" s="32"/>
      <c r="H124" s="32"/>
    </row>
    <row r="125" spans="1:8" x14ac:dyDescent="0.25">
      <c r="A125" s="32"/>
      <c r="B125" s="47"/>
      <c r="C125" s="69"/>
      <c r="D125" s="32"/>
      <c r="E125" s="32"/>
      <c r="F125" s="32"/>
      <c r="G125" s="32"/>
      <c r="H125" s="32"/>
    </row>
    <row r="126" spans="1:8" x14ac:dyDescent="0.25">
      <c r="A126" s="32"/>
      <c r="B126" s="47"/>
      <c r="C126" s="69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  <row r="129" spans="1:8" x14ac:dyDescent="0.25">
      <c r="A129" s="32"/>
      <c r="B129" s="47"/>
      <c r="C129" s="69"/>
      <c r="D129" s="32"/>
      <c r="E129" s="32"/>
      <c r="F129" s="32"/>
      <c r="G129" s="32"/>
      <c r="H129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2" workbookViewId="3">
      <selection activeCell="B44" sqref="B44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146840</v>
      </c>
      <c r="C19" s="11">
        <v>146894</v>
      </c>
      <c r="D19" s="11">
        <v>12622</v>
      </c>
      <c r="E19" s="11">
        <v>12532</v>
      </c>
      <c r="F19" s="11">
        <f t="shared" si="5"/>
        <v>-36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138816</v>
      </c>
      <c r="C20" s="11">
        <v>137624</v>
      </c>
      <c r="D20" s="11">
        <v>11029</v>
      </c>
      <c r="E20" s="11">
        <v>12532</v>
      </c>
      <c r="F20" s="11">
        <f t="shared" si="5"/>
        <v>311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>
        <v>147189</v>
      </c>
      <c r="C21" s="11">
        <v>146894</v>
      </c>
      <c r="D21" s="11">
        <v>12935</v>
      </c>
      <c r="E21" s="11">
        <v>12532</v>
      </c>
      <c r="F21" s="11">
        <f t="shared" si="5"/>
        <v>-698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>
        <v>140386</v>
      </c>
      <c r="C22" s="11">
        <v>140915</v>
      </c>
      <c r="D22" s="11">
        <v>12623</v>
      </c>
      <c r="E22" s="11">
        <v>12532</v>
      </c>
      <c r="F22" s="11">
        <f t="shared" si="5"/>
        <v>438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>
        <v>141948</v>
      </c>
      <c r="C23" s="11">
        <v>141882</v>
      </c>
      <c r="D23" s="11">
        <v>12641</v>
      </c>
      <c r="E23" s="11">
        <v>12532</v>
      </c>
      <c r="F23" s="11">
        <f t="shared" si="5"/>
        <v>-175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>
        <v>140303</v>
      </c>
      <c r="C24" s="11">
        <v>139659</v>
      </c>
      <c r="D24" s="11">
        <v>12615</v>
      </c>
      <c r="E24" s="11">
        <v>12532</v>
      </c>
      <c r="F24" s="11">
        <f t="shared" si="5"/>
        <v>-727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52</v>
      </c>
      <c r="B25" s="11">
        <v>142945</v>
      </c>
      <c r="C25" s="11">
        <v>142830</v>
      </c>
      <c r="D25" s="11">
        <v>12628</v>
      </c>
      <c r="E25" s="11">
        <v>12532</v>
      </c>
      <c r="F25" s="11">
        <f t="shared" si="5"/>
        <v>-211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>
        <v>138040</v>
      </c>
      <c r="C26" s="11">
        <v>138430</v>
      </c>
      <c r="D26" s="11">
        <v>11271</v>
      </c>
      <c r="E26" s="11">
        <v>12532</v>
      </c>
      <c r="F26" s="11">
        <f t="shared" si="5"/>
        <v>1651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>
        <v>131479</v>
      </c>
      <c r="C27" s="11">
        <v>131398</v>
      </c>
      <c r="D27" s="11"/>
      <c r="E27" s="11"/>
      <c r="F27" s="11">
        <f t="shared" si="5"/>
        <v>-81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>
        <v>145720</v>
      </c>
      <c r="C28" s="150">
        <v>145465</v>
      </c>
      <c r="D28" s="150">
        <v>10112</v>
      </c>
      <c r="E28" s="150">
        <v>12532</v>
      </c>
      <c r="F28" s="11">
        <f t="shared" si="5"/>
        <v>2165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>
        <v>144699</v>
      </c>
      <c r="C29" s="150">
        <v>144643</v>
      </c>
      <c r="D29" s="150">
        <v>14070</v>
      </c>
      <c r="E29" s="150">
        <v>12532</v>
      </c>
      <c r="F29" s="11">
        <f t="shared" si="5"/>
        <v>-1594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>
        <v>12904</v>
      </c>
      <c r="E30" s="150">
        <v>12532</v>
      </c>
      <c r="F30" s="11">
        <f t="shared" si="5"/>
        <v>-372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3061321</v>
      </c>
      <c r="C39" s="150">
        <f>SUM(C8:C38)</f>
        <v>3051670</v>
      </c>
      <c r="D39" s="150">
        <f>SUM(D8:D38)</f>
        <v>279497</v>
      </c>
      <c r="E39" s="150">
        <f>SUM(E8:E38)</f>
        <v>280216</v>
      </c>
      <c r="F39" s="11">
        <f t="shared" si="5"/>
        <v>-8932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37103</v>
      </c>
      <c r="C42" s="153"/>
      <c r="D42" s="153"/>
      <c r="E42" s="153"/>
      <c r="F42" s="449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37126</v>
      </c>
      <c r="C43" s="142"/>
      <c r="D43" s="142"/>
      <c r="E43" s="142"/>
      <c r="F43" s="150">
        <f>+F42+F39</f>
        <v>138201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27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37103</v>
      </c>
      <c r="B50" s="32"/>
      <c r="C50" s="32"/>
      <c r="D50" s="443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37126</v>
      </c>
      <c r="B51" s="32"/>
      <c r="C51" s="32"/>
      <c r="D51" s="408">
        <f>+F39*'by type'!J3</f>
        <v>-24027.079999999998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665804.4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409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409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409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409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5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31" workbookViewId="3">
      <selection activeCell="C53" sqref="C53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-52893</v>
      </c>
      <c r="C17" s="24">
        <v>-52903</v>
      </c>
      <c r="D17" s="24">
        <f t="shared" si="0"/>
        <v>-10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-59252</v>
      </c>
      <c r="C18" s="24">
        <v>-59157</v>
      </c>
      <c r="D18" s="24">
        <f t="shared" si="0"/>
        <v>95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-47665</v>
      </c>
      <c r="C19" s="24">
        <v>-47738</v>
      </c>
      <c r="D19" s="24">
        <f t="shared" si="0"/>
        <v>-73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-43304</v>
      </c>
      <c r="C20" s="24">
        <v>-43210</v>
      </c>
      <c r="D20" s="24">
        <f t="shared" si="0"/>
        <v>94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-81707</v>
      </c>
      <c r="C21" s="24">
        <v>-81915</v>
      </c>
      <c r="D21" s="24">
        <f t="shared" si="0"/>
        <v>-208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-42631</v>
      </c>
      <c r="C22" s="24">
        <v>-42144</v>
      </c>
      <c r="D22" s="24">
        <f t="shared" si="0"/>
        <v>487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-43653</v>
      </c>
      <c r="C23" s="24">
        <v>-41943</v>
      </c>
      <c r="D23" s="24">
        <f t="shared" si="0"/>
        <v>1710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>
        <v>-43713</v>
      </c>
      <c r="C24" s="24">
        <v>-42140</v>
      </c>
      <c r="D24" s="24">
        <f t="shared" si="0"/>
        <v>1573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-36219</v>
      </c>
      <c r="C25" s="24">
        <v>-35934</v>
      </c>
      <c r="D25" s="24">
        <f t="shared" si="0"/>
        <v>285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>
        <v>-87894</v>
      </c>
      <c r="C26" s="24">
        <v>-87282</v>
      </c>
      <c r="D26" s="24">
        <f t="shared" si="0"/>
        <v>612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5">
      <c r="A36" s="12"/>
      <c r="B36" s="24">
        <f>SUM(B5:B35)</f>
        <v>-1246928</v>
      </c>
      <c r="C36" s="24">
        <f>SUM(C5:C35)</f>
        <v>-1239058</v>
      </c>
      <c r="D36" s="24">
        <f t="shared" si="0"/>
        <v>7870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5">
      <c r="B38" s="255">
        <v>37103</v>
      </c>
      <c r="C38" s="24"/>
      <c r="D38" s="442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5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8" thickBot="1" x14ac:dyDescent="0.3">
      <c r="B40" s="255">
        <v>37125</v>
      </c>
      <c r="C40" s="24"/>
      <c r="D40" s="195">
        <f>+D36+D38</f>
        <v>42849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8" thickTop="1" x14ac:dyDescent="0.25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5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5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5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5">
      <c r="A45" s="49">
        <f>+B38</f>
        <v>37103</v>
      </c>
      <c r="B45" s="32"/>
      <c r="C45" s="32"/>
      <c r="D45" s="443">
        <v>-287550.34999999998</v>
      </c>
    </row>
    <row r="46" spans="1:65" x14ac:dyDescent="0.25">
      <c r="A46" s="49">
        <f>+B40</f>
        <v>37125</v>
      </c>
      <c r="B46" s="32"/>
      <c r="C46" s="32"/>
      <c r="D46" s="408">
        <f>+D36*'by type'!J4</f>
        <v>22665.599999999999</v>
      </c>
    </row>
    <row r="47" spans="1:65" x14ac:dyDescent="0.25">
      <c r="A47" s="32"/>
      <c r="B47" s="32"/>
      <c r="C47" s="32"/>
      <c r="D47" s="202">
        <f>+D46+D45</f>
        <v>-264884.75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B16" sqref="B16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56339</v>
      </c>
      <c r="B5" s="90">
        <v>668837</v>
      </c>
      <c r="C5" s="90">
        <v>693216</v>
      </c>
      <c r="D5" s="90">
        <f>+C5-B5</f>
        <v>24379</v>
      </c>
      <c r="E5" s="285"/>
      <c r="F5" s="283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638438</v>
      </c>
      <c r="C7" s="90">
        <v>624149</v>
      </c>
      <c r="D7" s="90">
        <f t="shared" si="0"/>
        <v>-14289</v>
      </c>
      <c r="E7" s="285"/>
      <c r="F7" s="283"/>
      <c r="L7" t="s">
        <v>26</v>
      </c>
      <c r="M7">
        <v>7.6</v>
      </c>
    </row>
    <row r="8" spans="1:13" x14ac:dyDescent="0.25">
      <c r="A8" s="87">
        <v>500239</v>
      </c>
      <c r="B8" s="319">
        <v>865941</v>
      </c>
      <c r="C8" s="90">
        <v>907355</v>
      </c>
      <c r="D8" s="90">
        <f t="shared" si="0"/>
        <v>41414</v>
      </c>
      <c r="E8" s="285"/>
      <c r="F8" s="283"/>
    </row>
    <row r="9" spans="1:13" x14ac:dyDescent="0.25">
      <c r="A9" s="87">
        <v>500293</v>
      </c>
      <c r="B9" s="90">
        <v>291642</v>
      </c>
      <c r="C9" s="90">
        <v>403802</v>
      </c>
      <c r="D9" s="90">
        <f t="shared" si="0"/>
        <v>112160</v>
      </c>
      <c r="E9" s="285"/>
      <c r="F9" s="283"/>
    </row>
    <row r="10" spans="1:13" x14ac:dyDescent="0.25">
      <c r="A10" s="87">
        <v>500302</v>
      </c>
      <c r="B10" s="319"/>
      <c r="C10" s="319">
        <v>7520</v>
      </c>
      <c r="D10" s="90">
        <f t="shared" si="0"/>
        <v>7520</v>
      </c>
      <c r="E10" s="285"/>
      <c r="F10" s="283"/>
    </row>
    <row r="11" spans="1:13" x14ac:dyDescent="0.25">
      <c r="A11" s="87">
        <v>500303</v>
      </c>
      <c r="B11" s="319">
        <v>178952</v>
      </c>
      <c r="C11" s="90">
        <v>223036</v>
      </c>
      <c r="D11" s="90">
        <f t="shared" si="0"/>
        <v>44084</v>
      </c>
      <c r="E11" s="285"/>
      <c r="F11" s="283"/>
    </row>
    <row r="12" spans="1:13" x14ac:dyDescent="0.25">
      <c r="A12" s="91">
        <v>500305</v>
      </c>
      <c r="B12" s="319">
        <v>678495</v>
      </c>
      <c r="C12" s="90">
        <v>887358</v>
      </c>
      <c r="D12" s="90">
        <f t="shared" si="0"/>
        <v>208863</v>
      </c>
      <c r="E12" s="286"/>
      <c r="F12" s="283"/>
    </row>
    <row r="13" spans="1:13" x14ac:dyDescent="0.25">
      <c r="A13" s="87">
        <v>500307</v>
      </c>
      <c r="B13" s="319">
        <v>81127</v>
      </c>
      <c r="C13" s="90">
        <v>89314</v>
      </c>
      <c r="D13" s="90">
        <f t="shared" si="0"/>
        <v>8187</v>
      </c>
      <c r="E13" s="285"/>
      <c r="F13" s="283"/>
    </row>
    <row r="14" spans="1:13" x14ac:dyDescent="0.25">
      <c r="A14" s="87">
        <v>500313</v>
      </c>
      <c r="B14" s="90"/>
      <c r="C14" s="319">
        <v>1991</v>
      </c>
      <c r="D14" s="90">
        <f t="shared" si="0"/>
        <v>1991</v>
      </c>
      <c r="E14" s="285"/>
      <c r="F14" s="28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5">
      <c r="A16" s="87">
        <v>500655</v>
      </c>
      <c r="B16" s="325">
        <v>454450</v>
      </c>
      <c r="C16" s="90"/>
      <c r="D16" s="90">
        <f t="shared" si="0"/>
        <v>-454450</v>
      </c>
      <c r="E16" s="285"/>
      <c r="F16" s="283"/>
    </row>
    <row r="17" spans="1:6" x14ac:dyDescent="0.25">
      <c r="A17" s="87">
        <v>500657</v>
      </c>
      <c r="B17" s="335">
        <v>99274</v>
      </c>
      <c r="C17" s="88">
        <v>109949</v>
      </c>
      <c r="D17" s="94">
        <f t="shared" si="0"/>
        <v>10675</v>
      </c>
      <c r="E17" s="285"/>
      <c r="F17" s="283"/>
    </row>
    <row r="18" spans="1:6" x14ac:dyDescent="0.25">
      <c r="A18" s="87"/>
      <c r="B18" s="88"/>
      <c r="C18" s="88"/>
      <c r="D18" s="88">
        <f>SUM(D5:D17)</f>
        <v>-9466</v>
      </c>
      <c r="E18" s="285"/>
      <c r="F18" s="283"/>
    </row>
    <row r="19" spans="1:6" x14ac:dyDescent="0.25">
      <c r="A19" s="87" t="s">
        <v>84</v>
      </c>
      <c r="B19" s="88"/>
      <c r="C19" s="88"/>
      <c r="D19" s="95">
        <f>+summary!H4</f>
        <v>2.88</v>
      </c>
      <c r="E19" s="287"/>
      <c r="F19" s="283"/>
    </row>
    <row r="20" spans="1:6" x14ac:dyDescent="0.25">
      <c r="A20" s="87"/>
      <c r="B20" s="88"/>
      <c r="C20" s="88"/>
      <c r="D20" s="96">
        <f>+D19*D18</f>
        <v>-27262.079999999998</v>
      </c>
      <c r="E20" s="209"/>
      <c r="F20" s="284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37103</v>
      </c>
      <c r="B22" s="88"/>
      <c r="C22" s="88"/>
      <c r="D22" s="455">
        <v>-131785.95000000001</v>
      </c>
      <c r="E22" s="209"/>
      <c r="F22" s="66"/>
    </row>
    <row r="23" spans="1:6" x14ac:dyDescent="0.25">
      <c r="A23" s="87"/>
      <c r="B23" s="88"/>
      <c r="C23" s="88"/>
      <c r="D23" s="322"/>
      <c r="E23" s="209"/>
      <c r="F23" s="66"/>
    </row>
    <row r="24" spans="1:6" ht="13.8" thickBot="1" x14ac:dyDescent="0.3">
      <c r="A24" s="99">
        <v>37123</v>
      </c>
      <c r="B24" s="88"/>
      <c r="C24" s="88"/>
      <c r="D24" s="334">
        <f>+D22+D20</f>
        <v>-159048.03</v>
      </c>
      <c r="E24" s="209"/>
      <c r="F24" s="66"/>
    </row>
    <row r="25" spans="1:6" ht="13.8" thickTop="1" x14ac:dyDescent="0.25">
      <c r="E25" s="288"/>
    </row>
    <row r="28" spans="1:6" x14ac:dyDescent="0.25">
      <c r="A28" s="32" t="s">
        <v>157</v>
      </c>
      <c r="B28" s="32"/>
      <c r="C28" s="32"/>
      <c r="D28" s="32"/>
    </row>
    <row r="29" spans="1:6" x14ac:dyDescent="0.25">
      <c r="A29" s="49">
        <f>+A22</f>
        <v>37103</v>
      </c>
      <c r="B29" s="32"/>
      <c r="C29" s="32"/>
      <c r="D29" s="212">
        <v>-81746</v>
      </c>
    </row>
    <row r="30" spans="1:6" x14ac:dyDescent="0.25">
      <c r="A30" s="49">
        <f>+A24</f>
        <v>37123</v>
      </c>
      <c r="B30" s="32"/>
      <c r="C30" s="32"/>
      <c r="D30" s="379">
        <f>+D18</f>
        <v>-9466</v>
      </c>
    </row>
    <row r="31" spans="1:6" x14ac:dyDescent="0.25">
      <c r="A31" s="32"/>
      <c r="B31" s="32"/>
      <c r="C31" s="32"/>
      <c r="D31" s="14">
        <f>+D30+D29</f>
        <v>-91212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9" workbookViewId="3">
      <selection activeCell="E26" sqref="E26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4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4" t="s">
        <v>40</v>
      </c>
      <c r="I3" s="4" t="s">
        <v>20</v>
      </c>
      <c r="J3" s="4" t="s">
        <v>21</v>
      </c>
      <c r="K3" s="462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  <c r="H4" s="464"/>
      <c r="I4" s="14"/>
      <c r="J4" s="14"/>
      <c r="K4" s="14">
        <f t="shared" ref="K4:K9" si="0">+J4-I4</f>
        <v>0</v>
      </c>
      <c r="L4" s="390"/>
      <c r="M4" s="75">
        <f t="shared" ref="M4:M9" si="1">+L4*K4</f>
        <v>0</v>
      </c>
    </row>
    <row r="5" spans="1:14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2">+E5+C5-D5-B5</f>
        <v>27</v>
      </c>
      <c r="G5" s="25"/>
      <c r="H5" s="46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0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2"/>
        <v>342</v>
      </c>
      <c r="G6" s="25"/>
      <c r="H6" s="46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0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2"/>
        <v>4116</v>
      </c>
      <c r="G7" s="25"/>
      <c r="H7" s="46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0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2"/>
        <v>5155</v>
      </c>
      <c r="G8" s="25"/>
      <c r="H8" s="46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0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2"/>
        <v>-6643</v>
      </c>
      <c r="G9" s="25"/>
      <c r="H9" s="46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0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2"/>
        <v>1885</v>
      </c>
      <c r="G10" s="25"/>
      <c r="H10" s="464"/>
      <c r="I10" s="14"/>
      <c r="J10" s="14"/>
      <c r="K10" s="14"/>
      <c r="L10" s="390"/>
      <c r="M10" s="15"/>
      <c r="N10" s="15">
        <f>SUM(N5:N9)</f>
        <v>489002.35</v>
      </c>
    </row>
    <row r="11" spans="1:14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2"/>
        <v>5491</v>
      </c>
      <c r="G11" s="25"/>
      <c r="H11" s="464"/>
      <c r="I11" s="14"/>
      <c r="J11" s="14"/>
      <c r="K11" s="15"/>
      <c r="L11" s="390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2"/>
        <v>3020</v>
      </c>
      <c r="G12" s="25"/>
      <c r="H12" s="464"/>
      <c r="I12" s="24"/>
      <c r="J12" s="24"/>
      <c r="K12" s="110"/>
      <c r="L12" s="466"/>
      <c r="M12" s="110"/>
    </row>
    <row r="13" spans="1:14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2"/>
        <v>1547</v>
      </c>
      <c r="G13" s="25"/>
      <c r="I13" s="24"/>
      <c r="J13" s="24"/>
      <c r="K13" s="24">
        <f>SUM(K4:K12)</f>
        <v>135930</v>
      </c>
      <c r="L13" s="466"/>
      <c r="M13" s="110">
        <f>SUM(M4:M12)</f>
        <v>489002.35000000003</v>
      </c>
    </row>
    <row r="14" spans="1:14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2"/>
        <v>3451</v>
      </c>
      <c r="G14" s="25"/>
    </row>
    <row r="15" spans="1:14" x14ac:dyDescent="0.2">
      <c r="A15" s="41">
        <v>12</v>
      </c>
      <c r="B15" s="11">
        <v>33412</v>
      </c>
      <c r="C15" s="11">
        <v>30764</v>
      </c>
      <c r="D15" s="11">
        <v>30321</v>
      </c>
      <c r="E15" s="11">
        <v>30269</v>
      </c>
      <c r="F15" s="25">
        <f t="shared" si="2"/>
        <v>-2700</v>
      </c>
      <c r="G15" s="25"/>
    </row>
    <row r="16" spans="1:14" x14ac:dyDescent="0.2">
      <c r="A16" s="41">
        <v>13</v>
      </c>
      <c r="B16" s="11">
        <v>33711</v>
      </c>
      <c r="C16" s="11">
        <v>30302</v>
      </c>
      <c r="D16" s="11">
        <v>29868</v>
      </c>
      <c r="E16" s="11">
        <v>30731</v>
      </c>
      <c r="F16" s="25">
        <f t="shared" si="2"/>
        <v>-2546</v>
      </c>
      <c r="G16" s="25"/>
    </row>
    <row r="17" spans="1:7" x14ac:dyDescent="0.2">
      <c r="A17" s="41">
        <v>14</v>
      </c>
      <c r="B17" s="11">
        <v>34265</v>
      </c>
      <c r="C17" s="11">
        <v>30374</v>
      </c>
      <c r="D17" s="11">
        <v>30207</v>
      </c>
      <c r="E17" s="11">
        <v>30804</v>
      </c>
      <c r="F17" s="25">
        <f t="shared" si="2"/>
        <v>-3294</v>
      </c>
      <c r="G17" s="25"/>
    </row>
    <row r="18" spans="1:7" x14ac:dyDescent="0.2">
      <c r="A18" s="41">
        <v>15</v>
      </c>
      <c r="B18" s="11">
        <v>34973</v>
      </c>
      <c r="C18" s="11">
        <v>30417</v>
      </c>
      <c r="D18" s="11">
        <v>27096</v>
      </c>
      <c r="E18" s="11">
        <v>30847</v>
      </c>
      <c r="F18" s="25">
        <f t="shared" si="2"/>
        <v>-805</v>
      </c>
      <c r="G18" s="25"/>
    </row>
    <row r="19" spans="1:7" x14ac:dyDescent="0.2">
      <c r="A19" s="41">
        <v>16</v>
      </c>
      <c r="B19" s="11">
        <v>33442</v>
      </c>
      <c r="C19" s="11">
        <v>30517</v>
      </c>
      <c r="D19" s="11">
        <v>31103</v>
      </c>
      <c r="E19" s="11">
        <v>30950</v>
      </c>
      <c r="F19" s="25">
        <f t="shared" si="2"/>
        <v>-3078</v>
      </c>
      <c r="G19" s="25"/>
    </row>
    <row r="20" spans="1:7" x14ac:dyDescent="0.2">
      <c r="A20" s="41">
        <v>17</v>
      </c>
      <c r="B20" s="11">
        <v>33295</v>
      </c>
      <c r="C20" s="11">
        <v>30517</v>
      </c>
      <c r="D20" s="11">
        <v>28744</v>
      </c>
      <c r="E20" s="11">
        <v>30950</v>
      </c>
      <c r="F20" s="25">
        <f t="shared" si="2"/>
        <v>-572</v>
      </c>
      <c r="G20" s="25"/>
    </row>
    <row r="21" spans="1:7" x14ac:dyDescent="0.2">
      <c r="A21" s="41">
        <v>18</v>
      </c>
      <c r="B21" s="11">
        <v>37922</v>
      </c>
      <c r="C21" s="11">
        <v>30402</v>
      </c>
      <c r="D21" s="129">
        <v>29031</v>
      </c>
      <c r="E21" s="11">
        <v>30834</v>
      </c>
      <c r="F21" s="25">
        <f t="shared" si="2"/>
        <v>-5717</v>
      </c>
      <c r="G21" s="25"/>
    </row>
    <row r="22" spans="1:7" x14ac:dyDescent="0.2">
      <c r="A22" s="41">
        <v>19</v>
      </c>
      <c r="B22" s="11">
        <v>37429</v>
      </c>
      <c r="C22" s="11">
        <v>30402</v>
      </c>
      <c r="D22" s="11">
        <v>29422</v>
      </c>
      <c r="E22" s="11">
        <v>30834</v>
      </c>
      <c r="F22" s="25">
        <f t="shared" si="2"/>
        <v>-5615</v>
      </c>
      <c r="G22" s="25"/>
    </row>
    <row r="23" spans="1:7" x14ac:dyDescent="0.2">
      <c r="A23" s="41">
        <v>20</v>
      </c>
      <c r="B23" s="11">
        <v>35688</v>
      </c>
      <c r="C23" s="11">
        <v>30402</v>
      </c>
      <c r="D23" s="11">
        <v>28474</v>
      </c>
      <c r="E23" s="11">
        <v>30834</v>
      </c>
      <c r="F23" s="25">
        <f t="shared" si="2"/>
        <v>-2926</v>
      </c>
      <c r="G23" s="25"/>
    </row>
    <row r="24" spans="1:7" x14ac:dyDescent="0.2">
      <c r="A24" s="41">
        <v>21</v>
      </c>
      <c r="B24" s="11">
        <v>36035</v>
      </c>
      <c r="C24" s="11">
        <v>30517</v>
      </c>
      <c r="D24" s="11">
        <v>27197</v>
      </c>
      <c r="E24" s="11">
        <v>30950</v>
      </c>
      <c r="F24" s="25">
        <f t="shared" si="2"/>
        <v>-1765</v>
      </c>
      <c r="G24" s="25"/>
    </row>
    <row r="25" spans="1:7" x14ac:dyDescent="0.2">
      <c r="A25" s="41">
        <v>22</v>
      </c>
      <c r="B25" s="11">
        <v>35506</v>
      </c>
      <c r="C25" s="11">
        <v>30517</v>
      </c>
      <c r="D25" s="11">
        <v>28224</v>
      </c>
      <c r="E25" s="11">
        <v>30949</v>
      </c>
      <c r="F25" s="25">
        <f t="shared" si="2"/>
        <v>-2264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763596</v>
      </c>
      <c r="C35" s="11">
        <f>SUM(C4:C34)</f>
        <v>728027</v>
      </c>
      <c r="D35" s="11">
        <f>SUM(D4:D34)</f>
        <v>663202</v>
      </c>
      <c r="E35" s="11">
        <f>SUM(E4:E34)</f>
        <v>684485</v>
      </c>
      <c r="F35" s="11">
        <f>+E35-D35+C35-B35</f>
        <v>-14286</v>
      </c>
    </row>
    <row r="36" spans="1:7" x14ac:dyDescent="0.2">
      <c r="A36" s="45"/>
      <c r="C36" s="14">
        <f>+C35-B35</f>
        <v>-35569</v>
      </c>
      <c r="D36" s="14"/>
      <c r="E36" s="14">
        <f>+E35-D35</f>
        <v>21283</v>
      </c>
      <c r="F36" s="47"/>
    </row>
    <row r="37" spans="1:7" x14ac:dyDescent="0.2">
      <c r="C37" s="15">
        <f>+summary!H4</f>
        <v>2.88</v>
      </c>
      <c r="D37" s="15"/>
      <c r="E37" s="15">
        <f>+C37</f>
        <v>2.88</v>
      </c>
      <c r="F37" s="24"/>
    </row>
    <row r="38" spans="1:7" x14ac:dyDescent="0.2">
      <c r="C38" s="48">
        <f>+C37*C36</f>
        <v>-102438.72</v>
      </c>
      <c r="D38" s="47"/>
      <c r="E38" s="48">
        <f>+E37*E36</f>
        <v>61295.040000000001</v>
      </c>
      <c r="F38" s="46">
        <f>+E38+C38</f>
        <v>-41143.68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4">
        <v>612678.27</v>
      </c>
      <c r="D40" s="111"/>
      <c r="E40" s="454">
        <v>0</v>
      </c>
      <c r="F40" s="352">
        <f>+E40+C40</f>
        <v>612678.27</v>
      </c>
      <c r="G40" s="25"/>
    </row>
    <row r="41" spans="1:7" x14ac:dyDescent="0.2">
      <c r="A41" s="57">
        <v>37125</v>
      </c>
      <c r="C41" s="106">
        <f>+C40+C38</f>
        <v>510239.55000000005</v>
      </c>
      <c r="D41" s="106"/>
      <c r="E41" s="106">
        <f>+E40+E38</f>
        <v>61295.040000000001</v>
      </c>
      <c r="F41" s="106">
        <f>+E41+C41</f>
        <v>571534.59000000008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37125</v>
      </c>
      <c r="D47" s="379">
        <f>+F35</f>
        <v>-14286</v>
      </c>
      <c r="E47" s="11"/>
      <c r="F47" s="11"/>
      <c r="G47" s="25"/>
    </row>
    <row r="48" spans="1:7" x14ac:dyDescent="0.2">
      <c r="D48" s="14">
        <f>+D47+D46</f>
        <v>80845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38" workbookViewId="3">
      <selection activeCell="E16" sqref="E16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205187</v>
      </c>
      <c r="C15" s="11">
        <v>209202</v>
      </c>
      <c r="D15" s="11"/>
      <c r="E15" s="11">
        <v>-5480</v>
      </c>
      <c r="F15" s="11">
        <f t="shared" si="2"/>
        <v>-1465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208969</v>
      </c>
      <c r="C17" s="11">
        <v>209066</v>
      </c>
      <c r="D17" s="11"/>
      <c r="E17" s="11">
        <v>-807</v>
      </c>
      <c r="F17" s="11">
        <f t="shared" si="2"/>
        <v>-710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200915</v>
      </c>
      <c r="C18" s="11">
        <v>207816</v>
      </c>
      <c r="D18" s="11"/>
      <c r="E18" s="11">
        <v>-8506</v>
      </c>
      <c r="F18" s="11">
        <f t="shared" si="2"/>
        <v>-1605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185028</v>
      </c>
      <c r="C19" s="11">
        <v>192042</v>
      </c>
      <c r="D19" s="11"/>
      <c r="E19" s="11">
        <v>-7418</v>
      </c>
      <c r="F19" s="11">
        <f t="shared" si="2"/>
        <v>-404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205829</v>
      </c>
      <c r="C20" s="11">
        <v>210433</v>
      </c>
      <c r="D20" s="11"/>
      <c r="E20" s="11">
        <v>-5000</v>
      </c>
      <c r="F20" s="11">
        <f t="shared" si="2"/>
        <v>-396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203994</v>
      </c>
      <c r="C21" s="11">
        <v>209294</v>
      </c>
      <c r="D21" s="11"/>
      <c r="E21" s="11">
        <v>-5929</v>
      </c>
      <c r="F21" s="11">
        <f t="shared" si="2"/>
        <v>-629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230790</v>
      </c>
      <c r="C22" s="11">
        <v>250585</v>
      </c>
      <c r="D22" s="11"/>
      <c r="E22" s="11">
        <v>-6265</v>
      </c>
      <c r="F22" s="11">
        <f t="shared" si="2"/>
        <v>13530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180146</v>
      </c>
      <c r="C23" s="11">
        <v>245466</v>
      </c>
      <c r="D23" s="11"/>
      <c r="E23" s="11">
        <v>-6387</v>
      </c>
      <c r="F23" s="11">
        <f t="shared" si="2"/>
        <v>58933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>
        <v>216439</v>
      </c>
      <c r="C24" s="11">
        <v>221942</v>
      </c>
      <c r="D24" s="11"/>
      <c r="E24" s="11">
        <v>-6231</v>
      </c>
      <c r="F24" s="11">
        <f t="shared" si="2"/>
        <v>-728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183412</v>
      </c>
      <c r="C25" s="11">
        <v>215195</v>
      </c>
      <c r="D25" s="11"/>
      <c r="E25" s="11">
        <v>-28318</v>
      </c>
      <c r="F25" s="11">
        <f t="shared" si="2"/>
        <v>3465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167828</v>
      </c>
      <c r="C26" s="11">
        <v>203102</v>
      </c>
      <c r="D26" s="11"/>
      <c r="E26" s="11">
        <v>-36302</v>
      </c>
      <c r="F26" s="11">
        <f t="shared" si="2"/>
        <v>-1028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4190168</v>
      </c>
      <c r="C36" s="11">
        <f>SUM(C5:C35)</f>
        <v>4548070</v>
      </c>
      <c r="D36" s="11">
        <f>SUM(D5:D35)</f>
        <v>0</v>
      </c>
      <c r="E36" s="11">
        <f>SUM(E5:E35)</f>
        <v>-287008</v>
      </c>
      <c r="F36" s="11">
        <f>SUM(F5:F35)</f>
        <v>70894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37103</v>
      </c>
      <c r="F39" s="444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37125</v>
      </c>
      <c r="F41" s="353">
        <f>+F39+F36</f>
        <v>76004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37103</v>
      </c>
      <c r="C47" s="32"/>
      <c r="D47" s="32"/>
      <c r="E47" s="443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37125</v>
      </c>
      <c r="C48" s="32"/>
      <c r="D48" s="32"/>
      <c r="E48" s="408">
        <f>+F36*'by type'!J3</f>
        <v>190704.86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-297066.58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36" workbookViewId="3">
      <selection activeCell="A58" sqref="A58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74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5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5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5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5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5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5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5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5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5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5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5">
      <c r="A19" s="10">
        <v>12</v>
      </c>
      <c r="B19" s="11">
        <v>93439</v>
      </c>
      <c r="C19" s="11">
        <v>93039</v>
      </c>
      <c r="D19" s="11">
        <f t="shared" si="0"/>
        <v>-400</v>
      </c>
      <c r="E19" s="10"/>
      <c r="F19" s="11"/>
      <c r="G19" s="11"/>
      <c r="H19" s="11"/>
    </row>
    <row r="20" spans="1:8" x14ac:dyDescent="0.25">
      <c r="A20" s="10">
        <v>13</v>
      </c>
      <c r="B20" s="11">
        <v>102036</v>
      </c>
      <c r="C20" s="11">
        <v>101331</v>
      </c>
      <c r="D20" s="11">
        <f t="shared" si="0"/>
        <v>-705</v>
      </c>
      <c r="E20" s="10"/>
      <c r="F20" s="11"/>
      <c r="G20" s="11"/>
      <c r="H20" s="11"/>
    </row>
    <row r="21" spans="1:8" x14ac:dyDescent="0.25">
      <c r="A21" s="10">
        <v>14</v>
      </c>
      <c r="B21" s="11">
        <v>104231</v>
      </c>
      <c r="C21" s="11">
        <v>108641</v>
      </c>
      <c r="D21" s="11">
        <f t="shared" si="0"/>
        <v>4410</v>
      </c>
      <c r="E21" s="10"/>
      <c r="F21" s="11"/>
      <c r="G21" s="11"/>
      <c r="H21" s="11"/>
    </row>
    <row r="22" spans="1:8" x14ac:dyDescent="0.25">
      <c r="A22" s="10">
        <v>15</v>
      </c>
      <c r="B22" s="11">
        <v>108131</v>
      </c>
      <c r="C22" s="11">
        <v>109178</v>
      </c>
      <c r="D22" s="11">
        <f t="shared" si="0"/>
        <v>1047</v>
      </c>
      <c r="E22" s="10"/>
      <c r="F22" s="11"/>
      <c r="G22" s="11"/>
      <c r="H22" s="11"/>
    </row>
    <row r="23" spans="1:8" x14ac:dyDescent="0.25">
      <c r="A23" s="10">
        <v>16</v>
      </c>
      <c r="B23" s="11">
        <v>94371</v>
      </c>
      <c r="C23" s="11">
        <v>94262</v>
      </c>
      <c r="D23" s="11">
        <f t="shared" si="0"/>
        <v>-109</v>
      </c>
      <c r="E23" s="10"/>
      <c r="F23" s="11"/>
      <c r="G23" s="11"/>
      <c r="H23" s="11"/>
    </row>
    <row r="24" spans="1:8" x14ac:dyDescent="0.25">
      <c r="A24" s="10">
        <v>17</v>
      </c>
      <c r="B24" s="11">
        <v>91954</v>
      </c>
      <c r="C24" s="11">
        <v>91776</v>
      </c>
      <c r="D24" s="11">
        <f t="shared" si="0"/>
        <v>-178</v>
      </c>
      <c r="E24" s="10"/>
      <c r="F24" s="11"/>
      <c r="G24" s="11"/>
      <c r="H24" s="11"/>
    </row>
    <row r="25" spans="1:8" x14ac:dyDescent="0.25">
      <c r="A25" s="10">
        <v>18</v>
      </c>
      <c r="B25" s="11">
        <v>87470</v>
      </c>
      <c r="C25" s="11">
        <v>86776</v>
      </c>
      <c r="D25" s="11">
        <f t="shared" si="0"/>
        <v>-694</v>
      </c>
      <c r="E25" s="10"/>
      <c r="F25" s="11"/>
      <c r="G25" s="11"/>
      <c r="H25" s="11"/>
    </row>
    <row r="26" spans="1:8" x14ac:dyDescent="0.25">
      <c r="A26" s="10">
        <v>19</v>
      </c>
      <c r="B26" s="11">
        <v>83953</v>
      </c>
      <c r="C26" s="11">
        <v>86780</v>
      </c>
      <c r="D26" s="11">
        <f t="shared" si="0"/>
        <v>2827</v>
      </c>
      <c r="E26" s="10"/>
      <c r="F26" s="11"/>
      <c r="G26" s="11"/>
      <c r="H26" s="11"/>
    </row>
    <row r="27" spans="1:8" x14ac:dyDescent="0.25">
      <c r="A27" s="10">
        <v>20</v>
      </c>
      <c r="B27" s="11">
        <v>87096</v>
      </c>
      <c r="C27" s="11">
        <v>86776</v>
      </c>
      <c r="D27" s="11">
        <f t="shared" si="0"/>
        <v>-320</v>
      </c>
      <c r="E27" s="10"/>
      <c r="F27" s="11"/>
      <c r="G27" s="11"/>
      <c r="H27" s="11"/>
    </row>
    <row r="28" spans="1:8" x14ac:dyDescent="0.25">
      <c r="A28" s="10">
        <v>21</v>
      </c>
      <c r="B28" s="11">
        <v>97676</v>
      </c>
      <c r="C28" s="11">
        <v>96772</v>
      </c>
      <c r="D28" s="11">
        <f t="shared" si="0"/>
        <v>-904</v>
      </c>
      <c r="E28" s="10"/>
      <c r="F28" s="11"/>
      <c r="G28" s="11"/>
      <c r="H28" s="11"/>
    </row>
    <row r="29" spans="1:8" x14ac:dyDescent="0.25">
      <c r="A29" s="10">
        <v>22</v>
      </c>
      <c r="B29" s="11">
        <v>94387</v>
      </c>
      <c r="C29" s="11">
        <v>93565</v>
      </c>
      <c r="D29" s="11">
        <f t="shared" si="0"/>
        <v>-822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2064970</v>
      </c>
      <c r="C39" s="11">
        <f>SUM(C8:C38)</f>
        <v>2062362</v>
      </c>
      <c r="D39" s="11">
        <f>SUM(D8:D38)</f>
        <v>-2608</v>
      </c>
      <c r="E39" s="10"/>
      <c r="F39" s="11"/>
      <c r="G39" s="11"/>
      <c r="H39" s="11"/>
    </row>
    <row r="40" spans="1:8" x14ac:dyDescent="0.25">
      <c r="A40" s="26"/>
      <c r="D40" s="75">
        <f>+summary!H4</f>
        <v>2.88</v>
      </c>
      <c r="E40" s="26"/>
      <c r="H40" s="75"/>
    </row>
    <row r="41" spans="1:8" x14ac:dyDescent="0.25">
      <c r="D41" s="197">
        <f>+D40*D39</f>
        <v>-7511.04</v>
      </c>
      <c r="F41" s="252"/>
      <c r="H41" s="197"/>
    </row>
    <row r="42" spans="1:8" x14ac:dyDescent="0.25">
      <c r="A42" s="57">
        <v>37103</v>
      </c>
      <c r="D42" s="459">
        <v>21602.9</v>
      </c>
      <c r="E42" s="57"/>
      <c r="H42" s="197"/>
    </row>
    <row r="43" spans="1:8" x14ac:dyDescent="0.25">
      <c r="A43" s="57">
        <v>37126</v>
      </c>
      <c r="D43" s="198">
        <f>+D42+D41</f>
        <v>14091.86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157</v>
      </c>
      <c r="B47" s="32"/>
      <c r="C47" s="32"/>
      <c r="D47" s="32"/>
    </row>
    <row r="48" spans="1:8" x14ac:dyDescent="0.25">
      <c r="A48" s="49">
        <f>+A42</f>
        <v>37103</v>
      </c>
      <c r="B48" s="32"/>
      <c r="C48" s="32"/>
      <c r="D48" s="212">
        <v>-43475</v>
      </c>
    </row>
    <row r="49" spans="1:4" x14ac:dyDescent="0.25">
      <c r="A49" s="49">
        <f>+A43</f>
        <v>37126</v>
      </c>
      <c r="B49" s="32"/>
      <c r="C49" s="32"/>
      <c r="D49" s="379">
        <f>+D39</f>
        <v>-2608</v>
      </c>
    </row>
    <row r="50" spans="1:4" x14ac:dyDescent="0.25">
      <c r="A50" s="32"/>
      <c r="B50" s="32"/>
      <c r="C50" s="32"/>
      <c r="D50" s="14">
        <f>+D49+D48</f>
        <v>-46083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B13" sqref="B13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</cols>
  <sheetData>
    <row r="2" spans="1:10" x14ac:dyDescent="0.25">
      <c r="A2" s="2" t="s">
        <v>96</v>
      </c>
      <c r="G2" s="32"/>
      <c r="H2" s="15"/>
      <c r="I2" s="32"/>
      <c r="J2" s="32"/>
    </row>
    <row r="3" spans="1:10" x14ac:dyDescent="0.25">
      <c r="A3" s="2" t="s">
        <v>75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6">
        <v>37103</v>
      </c>
      <c r="C5" s="457">
        <v>1162786.04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37125</v>
      </c>
      <c r="J7" s="32"/>
    </row>
    <row r="8" spans="1:10" x14ac:dyDescent="0.25">
      <c r="A8" s="253">
        <v>60874</v>
      </c>
      <c r="B8" s="361">
        <v>3689</v>
      </c>
      <c r="J8" s="32"/>
    </row>
    <row r="9" spans="1:10" x14ac:dyDescent="0.25">
      <c r="A9" s="253">
        <v>78169</v>
      </c>
      <c r="B9" s="361">
        <f>145339-123471</f>
        <v>21868</v>
      </c>
      <c r="J9" s="32"/>
    </row>
    <row r="10" spans="1:10" x14ac:dyDescent="0.25">
      <c r="A10" s="32">
        <v>500235</v>
      </c>
      <c r="B10" s="14"/>
      <c r="J10" s="32"/>
    </row>
    <row r="11" spans="1:10" x14ac:dyDescent="0.25">
      <c r="A11" s="253">
        <v>500248</v>
      </c>
      <c r="B11" s="363">
        <f>3861-5448</f>
        <v>-1587</v>
      </c>
      <c r="J11" s="32"/>
    </row>
    <row r="12" spans="1:10" x14ac:dyDescent="0.25">
      <c r="A12" s="253">
        <v>500251</v>
      </c>
      <c r="B12" s="332">
        <f>13200-11740</f>
        <v>1460</v>
      </c>
      <c r="J12" s="32"/>
    </row>
    <row r="13" spans="1:10" x14ac:dyDescent="0.25">
      <c r="A13" s="253">
        <v>500254</v>
      </c>
      <c r="B13" s="332">
        <f>1980-2808</f>
        <v>-828</v>
      </c>
      <c r="J13" s="32"/>
    </row>
    <row r="14" spans="1:10" x14ac:dyDescent="0.25">
      <c r="A14" s="32">
        <v>500255</v>
      </c>
      <c r="B14" s="332">
        <f>12100-13198</f>
        <v>-1098</v>
      </c>
      <c r="E14" s="32">
        <v>4840.7299999999996</v>
      </c>
      <c r="J14" s="32"/>
    </row>
    <row r="15" spans="1:10" x14ac:dyDescent="0.25">
      <c r="A15" s="32">
        <v>500262</v>
      </c>
      <c r="B15" s="332">
        <f>8800-5417</f>
        <v>3383</v>
      </c>
      <c r="E15" s="32">
        <v>67.239999999999995</v>
      </c>
      <c r="J15" s="32"/>
    </row>
    <row r="16" spans="1:10" x14ac:dyDescent="0.25">
      <c r="A16" s="290">
        <v>500267</v>
      </c>
      <c r="B16" s="362">
        <f>1307464-1279841</f>
        <v>27623</v>
      </c>
      <c r="E16" s="32">
        <f>+E14-E15</f>
        <v>4773.49</v>
      </c>
      <c r="J16" s="32"/>
    </row>
    <row r="17" spans="1:10" x14ac:dyDescent="0.25">
      <c r="B17" s="14">
        <f>SUM(B8:B16)</f>
        <v>54510</v>
      </c>
      <c r="J17" s="32"/>
    </row>
    <row r="18" spans="1:10" x14ac:dyDescent="0.25">
      <c r="B18" s="15">
        <f>+B31</f>
        <v>2.88</v>
      </c>
      <c r="C18" s="201">
        <f>+B18*B17</f>
        <v>156988.79999999999</v>
      </c>
      <c r="G18" s="32"/>
      <c r="H18" s="413"/>
      <c r="I18" s="14"/>
      <c r="J18" s="32"/>
    </row>
    <row r="19" spans="1:10" x14ac:dyDescent="0.25">
      <c r="C19" s="339">
        <f>+C18+C5</f>
        <v>1319774.8400000001</v>
      </c>
      <c r="E19" s="15"/>
      <c r="G19" s="32"/>
      <c r="H19" s="413"/>
      <c r="I19" s="14"/>
      <c r="J19" s="32"/>
    </row>
    <row r="20" spans="1:10" x14ac:dyDescent="0.25">
      <c r="E20" s="15"/>
      <c r="G20" s="32"/>
      <c r="H20" s="413"/>
      <c r="I20" s="14"/>
      <c r="J20" s="32"/>
    </row>
    <row r="21" spans="1:10" x14ac:dyDescent="0.25">
      <c r="A21" s="32" t="s">
        <v>89</v>
      </c>
      <c r="G21" s="32"/>
      <c r="H21" s="413"/>
      <c r="I21" s="14"/>
      <c r="J21" s="32"/>
    </row>
    <row r="22" spans="1:10" x14ac:dyDescent="0.25">
      <c r="A22" s="2" t="s">
        <v>76</v>
      </c>
      <c r="G22" s="32"/>
      <c r="H22" s="413"/>
      <c r="I22" s="14"/>
      <c r="J22" s="32"/>
    </row>
    <row r="23" spans="1:10" x14ac:dyDescent="0.25">
      <c r="G23" s="32"/>
      <c r="H23" s="413"/>
      <c r="I23" s="14"/>
      <c r="J23" s="32"/>
    </row>
    <row r="24" spans="1:10" x14ac:dyDescent="0.25">
      <c r="G24" s="32"/>
      <c r="H24" s="413"/>
      <c r="I24" s="14"/>
      <c r="J24" s="32"/>
    </row>
    <row r="25" spans="1:10" x14ac:dyDescent="0.25">
      <c r="A25" s="200">
        <v>37103</v>
      </c>
      <c r="C25" s="457">
        <v>275313.71999999997</v>
      </c>
      <c r="G25" s="32"/>
      <c r="H25" s="15"/>
      <c r="I25" s="14"/>
      <c r="J25" s="32"/>
    </row>
    <row r="26" spans="1:10" x14ac:dyDescent="0.25">
      <c r="F26" s="267"/>
      <c r="G26" s="32"/>
      <c r="H26" s="15"/>
      <c r="I26" s="32"/>
      <c r="J26" s="32"/>
    </row>
    <row r="27" spans="1:10" x14ac:dyDescent="0.25">
      <c r="A27" s="57">
        <v>37125</v>
      </c>
      <c r="G27" s="32"/>
      <c r="H27" s="15"/>
      <c r="I27" s="32"/>
      <c r="J27" s="32"/>
    </row>
    <row r="28" spans="1:10" x14ac:dyDescent="0.25">
      <c r="A28" s="32">
        <v>9164</v>
      </c>
      <c r="B28" s="212"/>
      <c r="G28" s="32"/>
      <c r="H28" s="15"/>
      <c r="I28" s="32"/>
      <c r="J28" s="32"/>
    </row>
    <row r="29" spans="1:10" x14ac:dyDescent="0.25">
      <c r="A29" s="32">
        <v>9167</v>
      </c>
      <c r="B29" s="212"/>
    </row>
    <row r="30" spans="1:10" x14ac:dyDescent="0.25">
      <c r="B30" s="14">
        <f>+B29+B28</f>
        <v>0</v>
      </c>
    </row>
    <row r="31" spans="1:10" x14ac:dyDescent="0.25">
      <c r="B31" s="15">
        <f>+summary!H4</f>
        <v>2.88</v>
      </c>
      <c r="C31" s="201">
        <f>+B31*B30</f>
        <v>0</v>
      </c>
    </row>
    <row r="32" spans="1:10" x14ac:dyDescent="0.25">
      <c r="C32" s="339">
        <f>+C31+C25</f>
        <v>275313.71999999997</v>
      </c>
      <c r="E32" s="15"/>
    </row>
    <row r="34" spans="1:9" x14ac:dyDescent="0.25">
      <c r="E34" s="272"/>
    </row>
    <row r="35" spans="1:9" x14ac:dyDescent="0.25">
      <c r="A35" s="32" t="s">
        <v>89</v>
      </c>
      <c r="E35" s="15"/>
    </row>
    <row r="36" spans="1:9" x14ac:dyDescent="0.25">
      <c r="A36" s="32" t="s">
        <v>77</v>
      </c>
      <c r="E36" s="32" t="s">
        <v>157</v>
      </c>
      <c r="F36" s="381">
        <v>24268</v>
      </c>
      <c r="G36" s="381">
        <v>24693</v>
      </c>
      <c r="H36" s="381">
        <v>24361</v>
      </c>
    </row>
    <row r="37" spans="1:9" x14ac:dyDescent="0.25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5">
      <c r="E38" s="49">
        <f>+A7</f>
        <v>37125</v>
      </c>
      <c r="F38" s="379">
        <f>+B17</f>
        <v>54510</v>
      </c>
      <c r="G38" s="379">
        <f>+B30</f>
        <v>0</v>
      </c>
      <c r="H38" s="379">
        <f>+B45</f>
        <v>6917</v>
      </c>
      <c r="I38" s="14"/>
    </row>
    <row r="39" spans="1:9" x14ac:dyDescent="0.25">
      <c r="A39" s="49">
        <v>37103</v>
      </c>
      <c r="C39" s="457">
        <v>732710.21</v>
      </c>
      <c r="F39" s="14">
        <f>+F38+F37</f>
        <v>277536</v>
      </c>
      <c r="G39" s="14">
        <f>+G38+G37</f>
        <v>117857</v>
      </c>
      <c r="H39" s="14">
        <f>+H38+H37</f>
        <v>145727</v>
      </c>
      <c r="I39" s="14">
        <f>+H39+G39+F39</f>
        <v>541120</v>
      </c>
    </row>
    <row r="40" spans="1:9" x14ac:dyDescent="0.25">
      <c r="G40" s="32"/>
      <c r="H40" s="15"/>
      <c r="I40" s="32"/>
    </row>
    <row r="41" spans="1:9" x14ac:dyDescent="0.25">
      <c r="A41" s="249">
        <v>37125</v>
      </c>
      <c r="G41" s="32"/>
    </row>
    <row r="42" spans="1:9" x14ac:dyDescent="0.25">
      <c r="A42" s="253">
        <v>500241</v>
      </c>
      <c r="B42" s="14"/>
      <c r="G42" s="32"/>
    </row>
    <row r="43" spans="1:9" x14ac:dyDescent="0.25">
      <c r="A43" s="32">
        <v>500391</v>
      </c>
      <c r="B43" s="212">
        <v>5676</v>
      </c>
      <c r="G43" s="32"/>
      <c r="H43" s="414"/>
      <c r="I43" s="14"/>
    </row>
    <row r="44" spans="1:9" x14ac:dyDescent="0.25">
      <c r="A44" s="32">
        <v>500392</v>
      </c>
      <c r="B44" s="257">
        <v>1241</v>
      </c>
      <c r="G44" s="32"/>
      <c r="H44" s="414"/>
      <c r="I44" s="14"/>
    </row>
    <row r="45" spans="1:9" x14ac:dyDescent="0.25">
      <c r="B45" s="14">
        <f>SUM(B42:B44)</f>
        <v>6917</v>
      </c>
      <c r="G45" s="32"/>
      <c r="H45" s="414"/>
      <c r="I45" s="14"/>
    </row>
    <row r="46" spans="1:9" x14ac:dyDescent="0.25">
      <c r="B46" s="201">
        <f>+B31</f>
        <v>2.88</v>
      </c>
      <c r="C46" s="201">
        <f>+B46*B45</f>
        <v>19920.96</v>
      </c>
      <c r="H46" s="414"/>
      <c r="I46" s="14"/>
    </row>
    <row r="47" spans="1:9" x14ac:dyDescent="0.25">
      <c r="C47" s="339">
        <f>+C46+C39</f>
        <v>752631.16999999993</v>
      </c>
      <c r="E47" s="206"/>
      <c r="H47" s="414"/>
      <c r="I47" s="14"/>
    </row>
    <row r="48" spans="1:9" x14ac:dyDescent="0.25">
      <c r="E48" s="216"/>
      <c r="H48" s="414"/>
      <c r="I48" s="14"/>
    </row>
    <row r="49" spans="1:9" x14ac:dyDescent="0.25">
      <c r="E49" s="206"/>
      <c r="H49" s="414"/>
      <c r="I49" s="14"/>
    </row>
    <row r="50" spans="1:9" x14ac:dyDescent="0.25">
      <c r="C50" s="324"/>
      <c r="E50" s="216"/>
    </row>
    <row r="51" spans="1:9" x14ac:dyDescent="0.25">
      <c r="A51" s="32" t="s">
        <v>89</v>
      </c>
      <c r="C51" s="254"/>
    </row>
    <row r="52" spans="1:9" x14ac:dyDescent="0.25">
      <c r="A52" s="32">
        <v>21665</v>
      </c>
      <c r="B52" s="15" t="s">
        <v>142</v>
      </c>
      <c r="C52" s="456">
        <v>73449.16</v>
      </c>
      <c r="D52" s="32" t="s">
        <v>123</v>
      </c>
      <c r="E52" s="50"/>
      <c r="H52" s="414">
        <v>21665</v>
      </c>
      <c r="I52" s="14">
        <v>36403</v>
      </c>
    </row>
    <row r="53" spans="1:9" x14ac:dyDescent="0.25">
      <c r="A53" s="32">
        <v>22664</v>
      </c>
      <c r="B53" s="15" t="s">
        <v>142</v>
      </c>
      <c r="C53" s="480">
        <v>23612.35</v>
      </c>
      <c r="D53" s="32" t="s">
        <v>124</v>
      </c>
      <c r="H53" s="414">
        <v>22664</v>
      </c>
      <c r="I53" s="208">
        <v>18932</v>
      </c>
    </row>
    <row r="54" spans="1:9" x14ac:dyDescent="0.25">
      <c r="H54" s="415"/>
      <c r="I54" s="16"/>
    </row>
    <row r="55" spans="1:9" x14ac:dyDescent="0.25">
      <c r="C55" s="479"/>
    </row>
    <row r="56" spans="1:9" x14ac:dyDescent="0.25">
      <c r="C56" s="331">
        <f>+C53+C52+C47+C32+C19</f>
        <v>2444781.2400000002</v>
      </c>
      <c r="I56" s="14">
        <f>SUM(I39:I53)</f>
        <v>596455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D35" workbookViewId="3">
      <selection activeCell="E48" sqref="E48"/>
    </sheetView>
  </sheetViews>
  <sheetFormatPr defaultRowHeight="13.2" x14ac:dyDescent="0.25"/>
  <cols>
    <col min="3" max="3" width="9.88671875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8">
        <v>23995</v>
      </c>
      <c r="C1" s="235"/>
      <c r="D1" s="327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5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26046</v>
      </c>
      <c r="E10" s="11">
        <v>24612</v>
      </c>
      <c r="F10" s="11">
        <f t="shared" si="0"/>
        <v>-1434</v>
      </c>
      <c r="G10" s="11"/>
      <c r="I10" s="11"/>
      <c r="J10" s="24"/>
    </row>
    <row r="11" spans="1:10" x14ac:dyDescent="0.25">
      <c r="A11" s="10">
        <v>8</v>
      </c>
      <c r="B11" s="11">
        <v>11</v>
      </c>
      <c r="C11" s="11"/>
      <c r="D11" s="11">
        <v>24733</v>
      </c>
      <c r="E11" s="11">
        <v>24612</v>
      </c>
      <c r="F11" s="11">
        <f t="shared" si="0"/>
        <v>-132</v>
      </c>
      <c r="G11" s="11"/>
      <c r="I11" s="11"/>
      <c r="J11" s="24"/>
    </row>
    <row r="12" spans="1:10" x14ac:dyDescent="0.25">
      <c r="A12" s="10">
        <v>9</v>
      </c>
      <c r="B12" s="11">
        <v>22</v>
      </c>
      <c r="C12" s="11"/>
      <c r="D12" s="11">
        <v>26013</v>
      </c>
      <c r="E12" s="11">
        <v>24612</v>
      </c>
      <c r="F12" s="11">
        <f t="shared" si="0"/>
        <v>-1423</v>
      </c>
      <c r="G12" s="11"/>
      <c r="I12" s="11"/>
      <c r="J12" s="24"/>
    </row>
    <row r="13" spans="1:10" x14ac:dyDescent="0.25">
      <c r="A13" s="10">
        <v>10</v>
      </c>
      <c r="B13" s="11">
        <v>1</v>
      </c>
      <c r="C13" s="11"/>
      <c r="D13" s="11">
        <v>25516</v>
      </c>
      <c r="E13" s="11">
        <v>24612</v>
      </c>
      <c r="F13" s="11">
        <f t="shared" si="0"/>
        <v>-905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25869</v>
      </c>
      <c r="E14" s="11">
        <v>24612</v>
      </c>
      <c r="F14" s="11">
        <f t="shared" si="0"/>
        <v>-1257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25308</v>
      </c>
      <c r="E15" s="11">
        <v>24612</v>
      </c>
      <c r="F15" s="11">
        <f t="shared" si="0"/>
        <v>-696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25349</v>
      </c>
      <c r="E16" s="11">
        <v>24612</v>
      </c>
      <c r="F16" s="11">
        <f t="shared" si="0"/>
        <v>-737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26042</v>
      </c>
      <c r="E17" s="11">
        <v>24612</v>
      </c>
      <c r="F17" s="11">
        <f t="shared" si="0"/>
        <v>-1430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25954</v>
      </c>
      <c r="E18" s="11">
        <v>24612</v>
      </c>
      <c r="F18" s="11">
        <f t="shared" si="0"/>
        <v>-1342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26036</v>
      </c>
      <c r="E19" s="11">
        <v>24612</v>
      </c>
      <c r="F19" s="11">
        <f t="shared" si="0"/>
        <v>-1424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13182</v>
      </c>
      <c r="E20" s="11">
        <v>24612</v>
      </c>
      <c r="F20" s="11">
        <f t="shared" si="0"/>
        <v>11430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>
        <v>21303</v>
      </c>
      <c r="E21" s="11">
        <v>24612</v>
      </c>
      <c r="F21" s="11">
        <f t="shared" si="0"/>
        <v>3309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>
        <v>20687</v>
      </c>
      <c r="E22" s="11">
        <v>24612</v>
      </c>
      <c r="F22" s="11">
        <f t="shared" si="0"/>
        <v>3925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>
        <v>15373</v>
      </c>
      <c r="E23" s="11">
        <v>24612</v>
      </c>
      <c r="F23" s="11">
        <f t="shared" si="0"/>
        <v>9239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>
        <v>7932</v>
      </c>
      <c r="E24" s="11">
        <v>16205</v>
      </c>
      <c r="F24" s="11">
        <f t="shared" si="0"/>
        <v>8273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>
        <v>25349</v>
      </c>
      <c r="E25" s="11">
        <v>24612</v>
      </c>
      <c r="F25" s="11">
        <f t="shared" si="0"/>
        <v>-737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81">
        <v>23995</v>
      </c>
      <c r="J33" s="381">
        <v>22051</v>
      </c>
      <c r="K33" s="381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5">
      <c r="A35" s="10"/>
      <c r="B35" s="11">
        <f>SUM(B4:B34)</f>
        <v>34</v>
      </c>
      <c r="C35" s="11">
        <f>SUM(C4:C34)</f>
        <v>0</v>
      </c>
      <c r="D35" s="11">
        <f>SUM(D4:D34)</f>
        <v>489272</v>
      </c>
      <c r="E35" s="11">
        <f>SUM(E4:E34)</f>
        <v>533057</v>
      </c>
      <c r="F35" s="11">
        <f>SUM(F4:F34)</f>
        <v>43751</v>
      </c>
      <c r="G35" s="11"/>
      <c r="H35" s="49">
        <f>+A40</f>
        <v>37125</v>
      </c>
      <c r="I35" s="379">
        <f>+C36</f>
        <v>-34</v>
      </c>
      <c r="J35" s="379">
        <f>+E36</f>
        <v>43785</v>
      </c>
      <c r="K35" s="208"/>
      <c r="L35" s="14"/>
    </row>
    <row r="36" spans="1:13" x14ac:dyDescent="0.25">
      <c r="C36" s="25">
        <f>+C35-B35</f>
        <v>-34</v>
      </c>
      <c r="E36" s="25">
        <f>+E35-D35</f>
        <v>43785</v>
      </c>
      <c r="F36" s="25">
        <f>+E36+C36</f>
        <v>43751</v>
      </c>
      <c r="H36" s="32"/>
      <c r="I36" s="14">
        <f>+I35+I34</f>
        <v>-178519</v>
      </c>
      <c r="J36" s="14">
        <f>+J35+J34</f>
        <v>-36747</v>
      </c>
      <c r="K36" s="14">
        <f>+J36+I36</f>
        <v>-215266</v>
      </c>
      <c r="L36" s="14"/>
    </row>
    <row r="37" spans="1:13" x14ac:dyDescent="0.25">
      <c r="C37" s="329">
        <f>+summary!H5</f>
        <v>2.98</v>
      </c>
      <c r="E37" s="104">
        <f>+C37</f>
        <v>2.98</v>
      </c>
      <c r="F37" s="138">
        <f>+F36*E37</f>
        <v>130377.98</v>
      </c>
    </row>
    <row r="38" spans="1:13" x14ac:dyDescent="0.25">
      <c r="C38" s="138">
        <f>+C37*C36</f>
        <v>-101.32</v>
      </c>
      <c r="E38" s="136">
        <f>+E37*E36</f>
        <v>130479.3</v>
      </c>
      <c r="F38" s="138">
        <f>+E38+C38</f>
        <v>130377.98</v>
      </c>
    </row>
    <row r="39" spans="1:13" x14ac:dyDescent="0.25">
      <c r="A39" s="57">
        <v>37103</v>
      </c>
      <c r="B39" s="2" t="s">
        <v>46</v>
      </c>
      <c r="C39" s="369">
        <v>-1023166</v>
      </c>
      <c r="D39" s="338"/>
      <c r="E39" s="452">
        <v>-496043.34</v>
      </c>
      <c r="F39" s="337">
        <f>+E39+C39</f>
        <v>-1519209.34</v>
      </c>
    </row>
    <row r="40" spans="1:13" x14ac:dyDescent="0.25">
      <c r="A40" s="57">
        <v>37125</v>
      </c>
      <c r="B40" s="2" t="s">
        <v>46</v>
      </c>
      <c r="C40" s="330">
        <f>+C39+C38</f>
        <v>-1023267.32</v>
      </c>
      <c r="D40" s="259"/>
      <c r="E40" s="330">
        <f>+E39+E38</f>
        <v>-365564.04000000004</v>
      </c>
      <c r="F40" s="330">
        <f>+E40+C40</f>
        <v>-1388831.3599999999</v>
      </c>
      <c r="H40" s="131"/>
    </row>
    <row r="41" spans="1:13" x14ac:dyDescent="0.25">
      <c r="C41" s="348"/>
      <c r="D41" s="250"/>
      <c r="E41" s="250"/>
      <c r="H41" s="31"/>
    </row>
    <row r="42" spans="1:13" x14ac:dyDescent="0.25">
      <c r="C42" s="250"/>
      <c r="D42" s="250"/>
      <c r="E42" s="250"/>
    </row>
    <row r="43" spans="1:13" x14ac:dyDescent="0.25">
      <c r="C43" s="250"/>
      <c r="D43" s="250"/>
      <c r="E43" s="12" t="s">
        <v>115</v>
      </c>
    </row>
    <row r="44" spans="1:13" x14ac:dyDescent="0.25">
      <c r="C44" s="250"/>
      <c r="D44" s="250"/>
      <c r="E44" s="12">
        <v>22864</v>
      </c>
      <c r="F44" s="457">
        <v>-58339.66</v>
      </c>
      <c r="G44" s="254" t="s">
        <v>49</v>
      </c>
      <c r="J44" s="12">
        <v>22864</v>
      </c>
      <c r="K44" s="14">
        <v>-24566</v>
      </c>
    </row>
    <row r="45" spans="1:13" x14ac:dyDescent="0.25">
      <c r="C45" s="250"/>
      <c r="D45" s="250"/>
      <c r="E45" s="12">
        <v>20379</v>
      </c>
      <c r="F45" s="457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5">
      <c r="C46" s="250"/>
      <c r="D46" s="250"/>
      <c r="E46" s="12">
        <v>26357</v>
      </c>
      <c r="F46" s="371">
        <v>44144.84</v>
      </c>
      <c r="G46" s="254" t="s">
        <v>127</v>
      </c>
      <c r="J46" s="12">
        <v>26357</v>
      </c>
      <c r="K46" s="14">
        <v>26521</v>
      </c>
    </row>
    <row r="47" spans="1:13" x14ac:dyDescent="0.25">
      <c r="C47" s="250"/>
      <c r="D47" s="250"/>
      <c r="E47" s="12">
        <v>21544</v>
      </c>
      <c r="F47" s="457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5">
      <c r="C48" s="250"/>
      <c r="D48" s="250"/>
      <c r="E48" s="12">
        <v>24532</v>
      </c>
      <c r="F48" s="458">
        <v>-762222.24</v>
      </c>
      <c r="G48" s="254" t="s">
        <v>125</v>
      </c>
      <c r="J48" s="12">
        <v>24532</v>
      </c>
      <c r="K48" s="212">
        <v>17769</v>
      </c>
    </row>
    <row r="49" spans="3:13" x14ac:dyDescent="0.25">
      <c r="C49" s="250"/>
      <c r="D49" s="250"/>
      <c r="F49" s="349">
        <f>SUM(F40:F48)</f>
        <v>-2155604.13</v>
      </c>
      <c r="G49" s="250"/>
      <c r="K49" s="14">
        <f>SUM(K36:K48)</f>
        <v>-156455</v>
      </c>
    </row>
    <row r="50" spans="3:13" x14ac:dyDescent="0.25">
      <c r="C50" s="250"/>
      <c r="D50" s="250"/>
      <c r="F50" s="250"/>
      <c r="G50" s="250"/>
    </row>
    <row r="51" spans="3:13" x14ac:dyDescent="0.25">
      <c r="E51" s="2" t="s">
        <v>143</v>
      </c>
      <c r="F51" s="138">
        <f>+Duke!C56</f>
        <v>2444781.2400000002</v>
      </c>
      <c r="M51" s="14">
        <f>+Duke!I56</f>
        <v>596455</v>
      </c>
    </row>
    <row r="53" spans="3:13" x14ac:dyDescent="0.25">
      <c r="F53" s="104">
        <f>+F51+F49</f>
        <v>289177.11000000034</v>
      </c>
      <c r="M53" s="16">
        <f>+M51+K49</f>
        <v>440000</v>
      </c>
    </row>
    <row r="59" spans="3:13" x14ac:dyDescent="0.25">
      <c r="H59" s="258"/>
    </row>
    <row r="60" spans="3:13" x14ac:dyDescent="0.25">
      <c r="H60" s="258"/>
    </row>
    <row r="61" spans="3:13" x14ac:dyDescent="0.25">
      <c r="H61" s="258"/>
    </row>
    <row r="62" spans="3:13" x14ac:dyDescent="0.25">
      <c r="H62" s="367"/>
    </row>
    <row r="63" spans="3:13" x14ac:dyDescent="0.25">
      <c r="F63" s="367"/>
    </row>
    <row r="64" spans="3:13" x14ac:dyDescent="0.25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F30" sqref="F30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72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6926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-1055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7145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-1169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7121</v>
      </c>
      <c r="C19" s="11">
        <v>6031</v>
      </c>
      <c r="D19" s="11"/>
      <c r="E19" s="11"/>
      <c r="F19" s="11">
        <v>1011</v>
      </c>
      <c r="G19" s="11">
        <v>1150</v>
      </c>
      <c r="H19" s="11">
        <v>1426</v>
      </c>
      <c r="I19" s="11">
        <v>1283</v>
      </c>
      <c r="J19" s="25">
        <f t="shared" si="0"/>
        <v>-1094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7497</v>
      </c>
      <c r="C20" s="11">
        <v>6031</v>
      </c>
      <c r="D20" s="11"/>
      <c r="E20" s="11"/>
      <c r="F20" s="11">
        <v>1008</v>
      </c>
      <c r="G20" s="11">
        <v>1150</v>
      </c>
      <c r="H20" s="11">
        <v>1419</v>
      </c>
      <c r="I20" s="11">
        <v>1283</v>
      </c>
      <c r="J20" s="25">
        <f t="shared" si="0"/>
        <v>-1460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5169</v>
      </c>
      <c r="C21" s="11">
        <v>6031</v>
      </c>
      <c r="D21" s="11"/>
      <c r="E21" s="11"/>
      <c r="F21" s="11">
        <v>956</v>
      </c>
      <c r="G21" s="11">
        <v>1150</v>
      </c>
      <c r="H21" s="11">
        <v>1409</v>
      </c>
      <c r="I21" s="11">
        <v>1283</v>
      </c>
      <c r="J21" s="25">
        <f t="shared" si="0"/>
        <v>930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7298</v>
      </c>
      <c r="C22" s="11">
        <v>6531</v>
      </c>
      <c r="D22" s="11"/>
      <c r="E22" s="11"/>
      <c r="F22" s="11">
        <v>1098</v>
      </c>
      <c r="G22" s="11">
        <v>1150</v>
      </c>
      <c r="H22" s="11">
        <v>1394</v>
      </c>
      <c r="I22" s="11">
        <v>1283</v>
      </c>
      <c r="J22" s="25">
        <f t="shared" si="0"/>
        <v>-826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4507</v>
      </c>
      <c r="C23" s="11">
        <v>6531</v>
      </c>
      <c r="D23" s="11"/>
      <c r="E23" s="11"/>
      <c r="F23" s="11">
        <v>1042</v>
      </c>
      <c r="G23" s="11">
        <v>1150</v>
      </c>
      <c r="H23" s="11">
        <v>1404</v>
      </c>
      <c r="I23" s="11">
        <v>1283</v>
      </c>
      <c r="J23" s="25">
        <f t="shared" si="0"/>
        <v>2011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5627</v>
      </c>
      <c r="C24" s="11">
        <v>6513</v>
      </c>
      <c r="D24" s="11"/>
      <c r="E24" s="11"/>
      <c r="F24" s="11">
        <v>1034</v>
      </c>
      <c r="G24" s="11">
        <v>1150</v>
      </c>
      <c r="H24" s="11">
        <v>1409</v>
      </c>
      <c r="I24" s="11">
        <v>1283</v>
      </c>
      <c r="J24" s="25">
        <f t="shared" si="0"/>
        <v>876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6389</v>
      </c>
      <c r="C25" s="11">
        <v>6531</v>
      </c>
      <c r="D25" s="11"/>
      <c r="E25" s="11"/>
      <c r="F25" s="11">
        <v>1004</v>
      </c>
      <c r="G25" s="11">
        <v>1150</v>
      </c>
      <c r="H25" s="11">
        <v>1399</v>
      </c>
      <c r="I25" s="11">
        <v>1283</v>
      </c>
      <c r="J25" s="25">
        <f t="shared" si="0"/>
        <v>172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6016</v>
      </c>
      <c r="C26" s="11">
        <v>6531</v>
      </c>
      <c r="D26" s="11"/>
      <c r="E26" s="11"/>
      <c r="F26" s="11">
        <v>877</v>
      </c>
      <c r="G26" s="11">
        <v>1150</v>
      </c>
      <c r="H26" s="11">
        <v>1388</v>
      </c>
      <c r="I26" s="11">
        <v>1283</v>
      </c>
      <c r="J26" s="25">
        <f t="shared" si="0"/>
        <v>683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7602</v>
      </c>
      <c r="C27" s="11">
        <v>6531</v>
      </c>
      <c r="D27" s="11"/>
      <c r="E27" s="11"/>
      <c r="F27" s="11">
        <v>1064</v>
      </c>
      <c r="G27" s="11">
        <v>1150</v>
      </c>
      <c r="H27" s="11">
        <v>1365</v>
      </c>
      <c r="I27" s="11">
        <v>1283</v>
      </c>
      <c r="J27" s="25">
        <f t="shared" si="0"/>
        <v>-1067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>
        <v>7180</v>
      </c>
      <c r="C28" s="11">
        <v>6531</v>
      </c>
      <c r="D28" s="11"/>
      <c r="E28" s="11"/>
      <c r="F28" s="11">
        <v>965</v>
      </c>
      <c r="G28" s="11">
        <v>1150</v>
      </c>
      <c r="H28" s="11">
        <v>1220</v>
      </c>
      <c r="I28" s="11">
        <v>1283</v>
      </c>
      <c r="J28" s="25">
        <f t="shared" si="0"/>
        <v>-401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>
        <v>6993</v>
      </c>
      <c r="C29" s="11">
        <v>6531</v>
      </c>
      <c r="D29" s="11"/>
      <c r="E29" s="11"/>
      <c r="F29" s="11">
        <v>1003</v>
      </c>
      <c r="G29" s="11">
        <v>1150</v>
      </c>
      <c r="H29" s="11">
        <v>1451</v>
      </c>
      <c r="I29" s="11">
        <v>1283</v>
      </c>
      <c r="J29" s="25">
        <f t="shared" si="0"/>
        <v>-483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149977</v>
      </c>
      <c r="C39" s="11">
        <f t="shared" si="1"/>
        <v>136664</v>
      </c>
      <c r="D39" s="11">
        <f t="shared" si="1"/>
        <v>0</v>
      </c>
      <c r="E39" s="11">
        <f t="shared" si="1"/>
        <v>0</v>
      </c>
      <c r="F39" s="11">
        <f t="shared" si="1"/>
        <v>23403</v>
      </c>
      <c r="G39" s="11">
        <f t="shared" si="1"/>
        <v>25300</v>
      </c>
      <c r="H39" s="11">
        <f t="shared" si="1"/>
        <v>31163</v>
      </c>
      <c r="I39" s="11">
        <f t="shared" si="1"/>
        <v>28226</v>
      </c>
      <c r="J39" s="25">
        <f t="shared" si="1"/>
        <v>-14353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0">
        <f>+summary!H4</f>
        <v>2.88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-41336.639999999999</v>
      </c>
      <c r="L41"/>
      <c r="R41" s="138"/>
      <c r="X41" s="138"/>
    </row>
    <row r="42" spans="1:24" x14ac:dyDescent="0.25">
      <c r="A42" s="57">
        <v>37103</v>
      </c>
      <c r="C42" s="15"/>
      <c r="J42" s="359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37125</v>
      </c>
      <c r="C43" s="48"/>
      <c r="J43" s="138">
        <f>+J42+J41</f>
        <v>331505.24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157</v>
      </c>
      <c r="B46" s="32"/>
      <c r="C46" s="32"/>
      <c r="D46" s="32"/>
      <c r="L46"/>
    </row>
    <row r="47" spans="1:24" x14ac:dyDescent="0.25">
      <c r="A47" s="49">
        <f>+A42</f>
        <v>37103</v>
      </c>
      <c r="B47" s="32"/>
      <c r="C47" s="32"/>
      <c r="D47" s="212">
        <v>146405</v>
      </c>
      <c r="L47"/>
    </row>
    <row r="48" spans="1:24" x14ac:dyDescent="0.25">
      <c r="A48" s="49">
        <f>+A43</f>
        <v>37125</v>
      </c>
      <c r="B48" s="32"/>
      <c r="C48" s="32"/>
      <c r="D48" s="379">
        <f>+J39</f>
        <v>-14353</v>
      </c>
      <c r="L48"/>
    </row>
    <row r="49" spans="1:12" x14ac:dyDescent="0.25">
      <c r="A49" s="32"/>
      <c r="B49" s="32"/>
      <c r="C49" s="32"/>
      <c r="D49" s="14">
        <f>+D48+D47</f>
        <v>132052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D30" sqref="D30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>
        <v>10042</v>
      </c>
      <c r="C16" s="11">
        <v>11484</v>
      </c>
      <c r="D16" s="11"/>
      <c r="E16" s="11"/>
      <c r="F16" s="25">
        <f t="shared" si="0"/>
        <v>1442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>
        <v>11541</v>
      </c>
      <c r="C17" s="11">
        <v>11494</v>
      </c>
      <c r="D17" s="11"/>
      <c r="E17" s="11"/>
      <c r="F17" s="25">
        <f t="shared" si="0"/>
        <v>-47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>
        <v>12142</v>
      </c>
      <c r="C18" s="11">
        <v>11444</v>
      </c>
      <c r="D18" s="11">
        <v>-1</v>
      </c>
      <c r="E18" s="11"/>
      <c r="F18" s="25">
        <f t="shared" si="0"/>
        <v>-697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>
        <v>12792</v>
      </c>
      <c r="C19" s="11">
        <v>11444</v>
      </c>
      <c r="D19" s="11"/>
      <c r="E19" s="11"/>
      <c r="F19" s="25">
        <f t="shared" si="0"/>
        <v>-1348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>
        <v>12272</v>
      </c>
      <c r="C20" s="11">
        <v>11444</v>
      </c>
      <c r="D20" s="11"/>
      <c r="E20" s="11"/>
      <c r="F20" s="25">
        <f t="shared" si="0"/>
        <v>-828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>
        <v>11797</v>
      </c>
      <c r="C21" s="11">
        <v>11830</v>
      </c>
      <c r="D21" s="11"/>
      <c r="E21" s="11"/>
      <c r="F21" s="25">
        <f t="shared" si="0"/>
        <v>33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>
        <v>11785</v>
      </c>
      <c r="C22" s="11">
        <v>11837</v>
      </c>
      <c r="D22" s="11"/>
      <c r="E22" s="11"/>
      <c r="F22" s="25">
        <f t="shared" si="0"/>
        <v>52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>
        <v>11842</v>
      </c>
      <c r="C23" s="11">
        <v>11772</v>
      </c>
      <c r="D23" s="11">
        <v>-183</v>
      </c>
      <c r="E23" s="11"/>
      <c r="F23" s="25">
        <f t="shared" si="0"/>
        <v>113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>
        <v>12746</v>
      </c>
      <c r="C24" s="11">
        <v>11494</v>
      </c>
      <c r="D24" s="11">
        <v>-7</v>
      </c>
      <c r="E24" s="11"/>
      <c r="F24" s="25">
        <f t="shared" si="0"/>
        <v>-1245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>
        <v>11034</v>
      </c>
      <c r="C25" s="11">
        <v>11467</v>
      </c>
      <c r="D25" s="11">
        <v>-66</v>
      </c>
      <c r="E25" s="11"/>
      <c r="F25" s="25">
        <f t="shared" si="0"/>
        <v>499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>
        <v>11828</v>
      </c>
      <c r="C26" s="11">
        <v>11467</v>
      </c>
      <c r="D26" s="11">
        <v>-113</v>
      </c>
      <c r="E26" s="11"/>
      <c r="F26" s="25">
        <f t="shared" si="0"/>
        <v>-248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>
        <v>12542</v>
      </c>
      <c r="C27" s="11">
        <v>11467</v>
      </c>
      <c r="D27" s="11">
        <v>-62</v>
      </c>
      <c r="E27" s="11"/>
      <c r="F27" s="25">
        <f t="shared" si="0"/>
        <v>-1013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>
        <v>11913</v>
      </c>
      <c r="C28" s="11">
        <v>11494</v>
      </c>
      <c r="D28" s="11">
        <v>-36</v>
      </c>
      <c r="E28" s="11"/>
      <c r="F28" s="25">
        <f t="shared" si="0"/>
        <v>-383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>
        <v>10242</v>
      </c>
      <c r="C29" s="11">
        <v>11494</v>
      </c>
      <c r="D29" s="11">
        <v>-104</v>
      </c>
      <c r="E29" s="11"/>
      <c r="F29" s="25">
        <f t="shared" si="0"/>
        <v>1356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258809</v>
      </c>
      <c r="C39" s="11">
        <f>SUM(C8:C38)</f>
        <v>253016</v>
      </c>
      <c r="D39" s="11">
        <f>SUM(D8:D38)</f>
        <v>-572</v>
      </c>
      <c r="E39" s="11">
        <f>SUM(E8:E38)</f>
        <v>0</v>
      </c>
      <c r="F39" s="11">
        <f>SUM(F8:F38)</f>
        <v>-5221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+summary!H4</f>
        <v>2.88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-15036.48</v>
      </c>
      <c r="J41" s="138"/>
      <c r="N41" s="138"/>
      <c r="R41" s="138"/>
      <c r="V41" s="138"/>
      <c r="Z41" s="138"/>
    </row>
    <row r="42" spans="1:26" x14ac:dyDescent="0.25">
      <c r="A42" s="57">
        <v>37103</v>
      </c>
      <c r="C42" s="15"/>
      <c r="D42" s="15"/>
      <c r="E42" s="15"/>
      <c r="F42" s="453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37125</v>
      </c>
      <c r="C43" s="48"/>
      <c r="D43" s="48"/>
      <c r="E43" s="48"/>
      <c r="F43" s="110">
        <f>+F42+F41</f>
        <v>427140.04000000004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157</v>
      </c>
      <c r="B46" s="32"/>
      <c r="C46" s="32"/>
      <c r="D46" s="32"/>
      <c r="E46" s="11"/>
    </row>
    <row r="47" spans="1:26" x14ac:dyDescent="0.25">
      <c r="A47" s="49">
        <f>+A42</f>
        <v>37103</v>
      </c>
      <c r="B47" s="32"/>
      <c r="C47" s="32"/>
      <c r="D47" s="212">
        <v>-235778</v>
      </c>
      <c r="E47" s="11"/>
    </row>
    <row r="48" spans="1:26" x14ac:dyDescent="0.25">
      <c r="A48" s="49">
        <f>+A43</f>
        <v>37125</v>
      </c>
      <c r="B48" s="32"/>
      <c r="C48" s="32"/>
      <c r="D48" s="379">
        <f>+F39</f>
        <v>-5221</v>
      </c>
      <c r="E48" s="11"/>
    </row>
    <row r="49" spans="1:5" x14ac:dyDescent="0.25">
      <c r="A49" s="32"/>
      <c r="B49" s="32"/>
      <c r="C49" s="32"/>
      <c r="D49" s="14">
        <f>+D48+D47</f>
        <v>-240999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tabSelected="1" topLeftCell="A29" workbookViewId="3">
      <selection activeCell="E1" sqref="E1"/>
    </sheetView>
  </sheetViews>
  <sheetFormatPr defaultRowHeight="13.2" x14ac:dyDescent="0.25"/>
  <cols>
    <col min="1" max="1" width="16.44140625" style="295" customWidth="1"/>
    <col min="2" max="2" width="12.33203125" style="252" bestFit="1" customWidth="1"/>
    <col min="3" max="3" width="11.5546875" style="296" customWidth="1"/>
    <col min="4" max="4" width="5.109375" style="7" customWidth="1"/>
    <col min="5" max="5" width="11.109375" bestFit="1" customWidth="1"/>
    <col min="6" max="6" width="12.88671875" bestFit="1" customWidth="1"/>
    <col min="9" max="9" width="10.44140625" customWidth="1"/>
    <col min="10" max="10" width="8.44140625" customWidth="1"/>
    <col min="11" max="11" width="5.109375" customWidth="1"/>
  </cols>
  <sheetData>
    <row r="2" spans="1:32" ht="20.100000000000001" customHeight="1" x14ac:dyDescent="0.25">
      <c r="A2" s="365" t="s">
        <v>145</v>
      </c>
      <c r="G2" s="396" t="s">
        <v>81</v>
      </c>
      <c r="H2" s="373"/>
    </row>
    <row r="3" spans="1:32" ht="15" customHeight="1" x14ac:dyDescent="0.25">
      <c r="G3" s="299" t="s">
        <v>30</v>
      </c>
      <c r="H3" s="372">
        <f>+'[1]0701'!$K$39</f>
        <v>2.69</v>
      </c>
      <c r="I3" s="407">
        <f ca="1">NOW()</f>
        <v>37127.668055671296</v>
      </c>
    </row>
    <row r="4" spans="1:32" ht="15" customHeight="1" x14ac:dyDescent="0.25">
      <c r="A4" s="34" t="s">
        <v>152</v>
      </c>
      <c r="C4" s="34" t="s">
        <v>5</v>
      </c>
      <c r="G4" s="300" t="s">
        <v>31</v>
      </c>
      <c r="H4" s="301">
        <f>+'[1]0701'!$M$39</f>
        <v>2.88</v>
      </c>
    </row>
    <row r="5" spans="1:32" ht="15" customHeight="1" x14ac:dyDescent="0.25">
      <c r="B5" s="367"/>
      <c r="G5" s="299" t="s">
        <v>120</v>
      </c>
      <c r="H5" s="372">
        <f>+'[1]0701'!$H$39</f>
        <v>2.98</v>
      </c>
    </row>
    <row r="6" spans="1:32" ht="9.9" customHeight="1" x14ac:dyDescent="0.25"/>
    <row r="7" spans="1:32" ht="15" customHeight="1" x14ac:dyDescent="0.25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5">
      <c r="A8" s="374" t="s">
        <v>29</v>
      </c>
      <c r="B8" s="375">
        <f>+C8*$H$3</f>
        <v>790416.15</v>
      </c>
      <c r="C8" s="285">
        <f>+williams!J40</f>
        <v>293835</v>
      </c>
      <c r="D8" s="397">
        <f>+williams!A40</f>
        <v>37126</v>
      </c>
      <c r="E8" s="206" t="s">
        <v>87</v>
      </c>
      <c r="F8" s="206" t="s">
        <v>151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253" t="s">
        <v>83</v>
      </c>
      <c r="B9" s="375">
        <f>+Conoco!$F$41</f>
        <v>571534.59000000008</v>
      </c>
      <c r="C9" s="285">
        <f t="shared" ref="C9:C16" si="0">+B9/$H$4</f>
        <v>198449.51041666672</v>
      </c>
      <c r="D9" s="397">
        <f>+Conoco!A41</f>
        <v>37125</v>
      </c>
      <c r="E9" s="32" t="s">
        <v>88</v>
      </c>
      <c r="F9" s="32" t="s">
        <v>116</v>
      </c>
      <c r="G9" s="32" t="s">
        <v>149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374" t="s">
        <v>33</v>
      </c>
      <c r="B10" s="375">
        <f>+C10*$H$4</f>
        <v>511416</v>
      </c>
      <c r="C10" s="208">
        <f>+SoCal!F40</f>
        <v>177575</v>
      </c>
      <c r="D10" s="397">
        <f>+SoCal!A40</f>
        <v>37125</v>
      </c>
      <c r="E10" s="206" t="s">
        <v>87</v>
      </c>
      <c r="F10" s="206" t="s">
        <v>105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253" t="s">
        <v>154</v>
      </c>
      <c r="B11" s="375">
        <f>+PGETX!$H$39</f>
        <v>478734.57</v>
      </c>
      <c r="C11" s="285">
        <f t="shared" si="0"/>
        <v>166227.28125</v>
      </c>
      <c r="D11" s="398">
        <f>+PGETX!E39</f>
        <v>37125</v>
      </c>
      <c r="E11" s="32" t="s">
        <v>88</v>
      </c>
      <c r="F11" s="32" t="s">
        <v>105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253" t="s">
        <v>110</v>
      </c>
      <c r="B12" s="375">
        <f>+KN_Westar!F41</f>
        <v>457776.47</v>
      </c>
      <c r="C12" s="285">
        <f t="shared" si="0"/>
        <v>158950.16319444444</v>
      </c>
      <c r="D12" s="398">
        <f>+KN_Westar!A41</f>
        <v>37125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253" t="s">
        <v>113</v>
      </c>
      <c r="B13" s="375">
        <f>+CIG!$D$43</f>
        <v>428914.36</v>
      </c>
      <c r="C13" s="285">
        <f t="shared" si="0"/>
        <v>148928.59722222222</v>
      </c>
      <c r="D13" s="398">
        <f>+CIG!A43</f>
        <v>37125</v>
      </c>
      <c r="E13" s="32" t="s">
        <v>88</v>
      </c>
      <c r="F13" s="32" t="s">
        <v>116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253" t="s">
        <v>3</v>
      </c>
      <c r="B14" s="375">
        <f>+'Amoco Abo'!$F$43</f>
        <v>427140.04000000004</v>
      </c>
      <c r="C14" s="285">
        <f t="shared" si="0"/>
        <v>148312.51388888891</v>
      </c>
      <c r="D14" s="398">
        <f>+'Amoco Abo'!A43</f>
        <v>37125</v>
      </c>
      <c r="E14" s="32" t="s">
        <v>88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5">
      <c r="A15" s="253" t="s">
        <v>97</v>
      </c>
      <c r="B15" s="375">
        <f>+C15*$H$4</f>
        <v>423619.2</v>
      </c>
      <c r="C15" s="285">
        <f>+Mojave!D40</f>
        <v>147090</v>
      </c>
      <c r="D15" s="398">
        <f>+Mojave!A40</f>
        <v>37125</v>
      </c>
      <c r="E15" s="32" t="s">
        <v>87</v>
      </c>
      <c r="F15" s="32" t="s">
        <v>103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374" t="s">
        <v>90</v>
      </c>
      <c r="B16" s="375">
        <f>+NNG!$D$24</f>
        <v>399539.81</v>
      </c>
      <c r="C16" s="285">
        <f t="shared" si="0"/>
        <v>138729.10069444444</v>
      </c>
      <c r="D16" s="397">
        <f>+NNG!A24</f>
        <v>37125</v>
      </c>
      <c r="E16" s="206" t="s">
        <v>88</v>
      </c>
      <c r="F16" s="206" t="s">
        <v>103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253" t="s">
        <v>91</v>
      </c>
      <c r="B17" s="375">
        <f>+C17*$H$4</f>
        <v>396901.44</v>
      </c>
      <c r="C17" s="285">
        <f>+NGPL!F38</f>
        <v>137813</v>
      </c>
      <c r="D17" s="398">
        <f>+NGPL!A38</f>
        <v>37125</v>
      </c>
      <c r="E17" s="32" t="s">
        <v>87</v>
      </c>
      <c r="F17" s="32" t="s">
        <v>118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253" t="s">
        <v>24</v>
      </c>
      <c r="B18" s="461">
        <f>+C18*$H$3</f>
        <v>371760.69</v>
      </c>
      <c r="C18" s="377">
        <f>+'Red C'!F43</f>
        <v>138201</v>
      </c>
      <c r="D18" s="397">
        <f>+'Red C'!B43</f>
        <v>37126</v>
      </c>
      <c r="E18" s="206" t="s">
        <v>87</v>
      </c>
      <c r="F18" s="32" t="s">
        <v>118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253" t="s">
        <v>2</v>
      </c>
      <c r="B19" s="375">
        <f>+mewborne!$J$43</f>
        <v>331505.24</v>
      </c>
      <c r="C19" s="285">
        <f>+B19/$H$4</f>
        <v>115105.98611111111</v>
      </c>
      <c r="D19" s="398">
        <f>+mewborne!A43</f>
        <v>37125</v>
      </c>
      <c r="E19" s="32" t="s">
        <v>88</v>
      </c>
      <c r="F19" s="32" t="s">
        <v>102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253" t="s">
        <v>131</v>
      </c>
      <c r="B20" s="375">
        <f>+DEFS!F53</f>
        <v>289177.11000000034</v>
      </c>
      <c r="C20" s="208">
        <f>+B20/$H$4</f>
        <v>100408.71875000012</v>
      </c>
      <c r="D20" s="398">
        <f>+DEFS!A40</f>
        <v>37125</v>
      </c>
      <c r="E20" s="32" t="s">
        <v>88</v>
      </c>
      <c r="F20" s="32" t="s">
        <v>103</v>
      </c>
      <c r="G20" s="32" t="s">
        <v>121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253" t="s">
        <v>6</v>
      </c>
      <c r="B21" s="375">
        <f>+C21*$H$3</f>
        <v>275778.8</v>
      </c>
      <c r="C21" s="285">
        <f>+Amoco!D40</f>
        <v>102520</v>
      </c>
      <c r="D21" s="398">
        <f>+Amoco!A40</f>
        <v>37126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253" t="s">
        <v>1</v>
      </c>
      <c r="B22" s="375">
        <f>+C22*$H$3</f>
        <v>204450.76</v>
      </c>
      <c r="C22" s="208">
        <f>+NW!$F$41</f>
        <v>76004</v>
      </c>
      <c r="D22" s="397">
        <f>+NW!B41</f>
        <v>37125</v>
      </c>
      <c r="E22" s="32" t="s">
        <v>87</v>
      </c>
      <c r="F22" s="32" t="s">
        <v>118</v>
      </c>
      <c r="G22" s="381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253" t="s">
        <v>148</v>
      </c>
      <c r="B23" s="376">
        <f>+C23*$H$4</f>
        <v>185731.19999999998</v>
      </c>
      <c r="C23" s="377">
        <f>+PEPL!D41</f>
        <v>64490</v>
      </c>
      <c r="D23" s="398">
        <f>+PEPL!A41</f>
        <v>37125</v>
      </c>
      <c r="E23" s="32" t="s">
        <v>87</v>
      </c>
      <c r="F23" s="32" t="s">
        <v>103</v>
      </c>
      <c r="G23" s="32" t="s">
        <v>147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5">
      <c r="A24" s="253" t="s">
        <v>32</v>
      </c>
      <c r="B24" s="375">
        <f>+C24*$H$4</f>
        <v>178862.4</v>
      </c>
      <c r="C24" s="285">
        <f>+Lonestar!F42</f>
        <v>62105</v>
      </c>
      <c r="D24" s="397">
        <f>+Lonestar!B42</f>
        <v>37123</v>
      </c>
      <c r="E24" s="32" t="s">
        <v>87</v>
      </c>
      <c r="F24" s="32" t="s">
        <v>105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5">
      <c r="A25" s="253" t="s">
        <v>85</v>
      </c>
      <c r="B25" s="375">
        <f>+PNM!$D$23</f>
        <v>163534.38999999998</v>
      </c>
      <c r="C25" s="285">
        <f>+B25/$H$4</f>
        <v>56782.774305555555</v>
      </c>
      <c r="D25" s="398">
        <f>+PNM!A23</f>
        <v>37123</v>
      </c>
      <c r="E25" s="32" t="s">
        <v>88</v>
      </c>
      <c r="F25" s="32" t="s">
        <v>118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374" t="s">
        <v>132</v>
      </c>
      <c r="B26" s="375">
        <f>+Calpine!D41</f>
        <v>124051.63999999998</v>
      </c>
      <c r="C26" s="208">
        <f>+B26/$H$4</f>
        <v>43073.486111111109</v>
      </c>
      <c r="D26" s="397">
        <f>+Calpine!A41</f>
        <v>37125</v>
      </c>
      <c r="E26" s="206" t="s">
        <v>88</v>
      </c>
      <c r="F26" s="206" t="s">
        <v>102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5">
      <c r="A27" s="253" t="s">
        <v>7</v>
      </c>
      <c r="B27" s="375">
        <f>+C27*$H$4</f>
        <v>123405.12</v>
      </c>
      <c r="C27" s="208">
        <f>+Oasis!D40</f>
        <v>42849</v>
      </c>
      <c r="D27" s="398">
        <f>+Oasis!B40</f>
        <v>37125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5">
      <c r="A28" s="253" t="s">
        <v>117</v>
      </c>
      <c r="B28" s="375">
        <f>+C28*$H$4</f>
        <v>79669.440000000002</v>
      </c>
      <c r="C28" s="208">
        <f>+'PG&amp;E'!D40</f>
        <v>27663</v>
      </c>
      <c r="D28" s="398">
        <f>+'PG&amp;E'!A40</f>
        <v>37125</v>
      </c>
      <c r="E28" s="32" t="s">
        <v>87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5">
      <c r="A29" s="253" t="s">
        <v>106</v>
      </c>
      <c r="B29" s="375">
        <f>+EOG!J41</f>
        <v>74249.320000000007</v>
      </c>
      <c r="C29" s="285">
        <f>+B29/$H$4</f>
        <v>25781.013888888891</v>
      </c>
      <c r="D29" s="397">
        <f>+EOG!A41</f>
        <v>37123</v>
      </c>
      <c r="E29" s="32" t="s">
        <v>88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5">
      <c r="A30" s="253" t="s">
        <v>34</v>
      </c>
      <c r="B30" s="375">
        <f>+'El Paso'!C39*summary!H4+'El Paso'!E39*summary!H3</f>
        <v>38917.48000000001</v>
      </c>
      <c r="C30" s="285">
        <f>+'El Paso'!H39</f>
        <v>9936</v>
      </c>
      <c r="D30" s="398">
        <f>+'El Paso'!A39</f>
        <v>37125</v>
      </c>
      <c r="E30" s="32" t="s">
        <v>87</v>
      </c>
      <c r="F30" s="32" t="s">
        <v>103</v>
      </c>
      <c r="G30" s="32" t="s">
        <v>122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3.5" customHeight="1" x14ac:dyDescent="0.25">
      <c r="A31" s="374" t="s">
        <v>74</v>
      </c>
      <c r="B31" s="376">
        <f>+transcol!$D$43</f>
        <v>14091.86</v>
      </c>
      <c r="C31" s="377">
        <f>+B31/$H$4</f>
        <v>4893.0069444444453</v>
      </c>
      <c r="D31" s="397">
        <f>+transcol!A43</f>
        <v>37126</v>
      </c>
      <c r="E31" s="206" t="s">
        <v>88</v>
      </c>
      <c r="F31" s="206" t="s">
        <v>118</v>
      </c>
      <c r="G31" s="304"/>
      <c r="H31" s="206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5">
      <c r="A32" s="374" t="s">
        <v>98</v>
      </c>
      <c r="B32" s="375">
        <f>+burlington!D42</f>
        <v>6836.4700000000012</v>
      </c>
      <c r="C32" s="285">
        <f>+B32/$H$3</f>
        <v>2541.4386617100376</v>
      </c>
      <c r="D32" s="397">
        <f>+burlington!A42</f>
        <v>37126</v>
      </c>
      <c r="E32" s="206" t="s">
        <v>88</v>
      </c>
      <c r="F32" s="32" t="s">
        <v>116</v>
      </c>
      <c r="G32" s="32" t="s">
        <v>150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5">
      <c r="A33" s="253" t="s">
        <v>136</v>
      </c>
      <c r="B33" s="378">
        <f>+SidR!D41</f>
        <v>3224.36</v>
      </c>
      <c r="C33" s="71">
        <f>+B33/$H$4</f>
        <v>1119.5694444444446</v>
      </c>
      <c r="D33" s="398">
        <f>+SidR!A41</f>
        <v>37126</v>
      </c>
      <c r="E33" s="32" t="s">
        <v>88</v>
      </c>
      <c r="F33" s="32" t="s">
        <v>105</v>
      </c>
      <c r="G33" s="32" t="s">
        <v>168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5">
      <c r="A34" s="32" t="s">
        <v>99</v>
      </c>
      <c r="B34" s="47">
        <f>SUM(B8:B33)</f>
        <v>7351238.9100000029</v>
      </c>
      <c r="C34" s="69">
        <f>SUM(C8:C33)</f>
        <v>2589384.1608839324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5">
      <c r="A35" s="32"/>
      <c r="B35" s="47"/>
      <c r="C35" s="69"/>
      <c r="D35" s="205"/>
      <c r="E35" s="32"/>
      <c r="F35" s="380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5">
      <c r="A36" s="355" t="s">
        <v>92</v>
      </c>
      <c r="B36" s="356" t="s">
        <v>17</v>
      </c>
      <c r="C36" s="357" t="s">
        <v>0</v>
      </c>
      <c r="D36" s="366" t="s">
        <v>153</v>
      </c>
      <c r="E36" s="355" t="s">
        <v>93</v>
      </c>
      <c r="F36" s="358" t="s">
        <v>104</v>
      </c>
      <c r="G36" s="355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" customHeight="1" x14ac:dyDescent="0.25">
      <c r="A37" s="374" t="s">
        <v>140</v>
      </c>
      <c r="B37" s="375">
        <f>+Citizens!D18</f>
        <v>-796281.14</v>
      </c>
      <c r="C37" s="208">
        <f>+B37/$H$4</f>
        <v>-276486.50694444444</v>
      </c>
      <c r="D37" s="397">
        <f>+Citizens!A18</f>
        <v>37125</v>
      </c>
      <c r="E37" s="206" t="s">
        <v>88</v>
      </c>
      <c r="F37" s="206" t="s">
        <v>102</v>
      </c>
      <c r="G37" s="38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" customHeight="1" x14ac:dyDescent="0.25">
      <c r="A38" s="253" t="s">
        <v>138</v>
      </c>
      <c r="B38" s="375">
        <f>+'NS Steel'!D41</f>
        <v>-434915.5</v>
      </c>
      <c r="C38" s="208">
        <f>+B38/$H$4</f>
        <v>-151012.32638888891</v>
      </c>
      <c r="D38" s="398">
        <f>+'NS Steel'!A41</f>
        <v>37125</v>
      </c>
      <c r="E38" s="32" t="s">
        <v>88</v>
      </c>
      <c r="F38" s="32" t="s">
        <v>103</v>
      </c>
      <c r="G38" s="381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" customHeight="1" x14ac:dyDescent="0.25">
      <c r="A39" s="253" t="s">
        <v>144</v>
      </c>
      <c r="B39" s="375">
        <f>+'Citizens-Griffith'!D41</f>
        <v>-198867.28</v>
      </c>
      <c r="C39" s="285">
        <f>+B39/$H$4</f>
        <v>-69051.138888888891</v>
      </c>
      <c r="D39" s="397">
        <f>+'Citizens-Griffith'!A41</f>
        <v>37125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" customHeight="1" x14ac:dyDescent="0.25">
      <c r="A40" s="374" t="s">
        <v>82</v>
      </c>
      <c r="B40" s="375">
        <f>+Agave!$D$24</f>
        <v>-159048.03</v>
      </c>
      <c r="C40" s="208">
        <f>+B40/$H$4</f>
        <v>-55225.010416666672</v>
      </c>
      <c r="D40" s="397">
        <f>+Agave!A24</f>
        <v>37123</v>
      </c>
      <c r="E40" s="206" t="s">
        <v>88</v>
      </c>
      <c r="F40" s="206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" customHeight="1" x14ac:dyDescent="0.25">
      <c r="A41" s="253" t="s">
        <v>134</v>
      </c>
      <c r="B41" s="375">
        <f>+EPFS!D41</f>
        <v>-117969.70000000001</v>
      </c>
      <c r="C41" s="208">
        <f>+B41/$H$5</f>
        <v>-39587.147651006715</v>
      </c>
      <c r="D41" s="397">
        <f>+EPFS!A41</f>
        <v>37125</v>
      </c>
      <c r="E41" s="32" t="s">
        <v>88</v>
      </c>
      <c r="F41" s="32" t="s">
        <v>105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" customHeight="1" x14ac:dyDescent="0.25">
      <c r="A42" s="253" t="s">
        <v>112</v>
      </c>
      <c r="B42" s="378">
        <f>+Continental!F43</f>
        <v>-5216.57</v>
      </c>
      <c r="C42" s="379">
        <f>+B42/$H$4</f>
        <v>-1811.3090277777778</v>
      </c>
      <c r="D42" s="398">
        <f>+Continental!A43</f>
        <v>37123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5">
      <c r="A43" s="32" t="s">
        <v>100</v>
      </c>
      <c r="B43" s="375">
        <f>SUM(B37:B42)</f>
        <v>-1712298.2200000002</v>
      </c>
      <c r="C43" s="208">
        <f>SUM(C37:C42)</f>
        <v>-593173.43931767333</v>
      </c>
      <c r="D43" s="38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" customHeight="1" x14ac:dyDescent="0.25">
      <c r="A44" s="32"/>
      <c r="B44" s="378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8" thickBot="1" x14ac:dyDescent="0.3">
      <c r="A45" s="2" t="s">
        <v>94</v>
      </c>
      <c r="B45" s="383">
        <f>+B43+B34</f>
        <v>5638940.6900000032</v>
      </c>
      <c r="C45" s="384">
        <f>+C43+C34</f>
        <v>1996210.7215662589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8" thickTop="1" x14ac:dyDescent="0.25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5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5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5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5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5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5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5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385"/>
      <c r="C60" s="386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14"/>
      <c r="C64" s="69"/>
      <c r="D64" s="38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14"/>
      <c r="C66" s="305"/>
      <c r="D66" s="388"/>
      <c r="E66" s="389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14"/>
      <c r="C67" s="305"/>
      <c r="D67" s="390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305"/>
      <c r="D68" s="390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305"/>
      <c r="D69" s="39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305"/>
      <c r="D70" s="39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393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393"/>
      <c r="C72" s="69"/>
      <c r="D72" s="38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394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394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393"/>
      <c r="C75" s="14"/>
      <c r="D75" s="38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393"/>
      <c r="C76" s="69"/>
      <c r="D76" s="38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393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385"/>
      <c r="C78" s="395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B9" sqref="B9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-1797</v>
      </c>
      <c r="C6" s="80"/>
      <c r="D6" s="80">
        <f t="shared" ref="D6:D14" si="0">+C6-B6</f>
        <v>1797</v>
      </c>
    </row>
    <row r="7" spans="1:8" x14ac:dyDescent="0.2">
      <c r="A7" s="32">
        <v>3531</v>
      </c>
      <c r="B7" s="323">
        <v>-600626</v>
      </c>
      <c r="C7" s="80">
        <v>-295084</v>
      </c>
      <c r="D7" s="80">
        <f t="shared" si="0"/>
        <v>305542</v>
      </c>
    </row>
    <row r="8" spans="1:8" x14ac:dyDescent="0.2">
      <c r="A8" s="32">
        <v>60667</v>
      </c>
      <c r="B8" s="323">
        <v>-427042</v>
      </c>
      <c r="C8" s="80"/>
      <c r="D8" s="80">
        <f t="shared" si="0"/>
        <v>427042</v>
      </c>
      <c r="H8" s="254"/>
    </row>
    <row r="9" spans="1:8" x14ac:dyDescent="0.2">
      <c r="A9" s="32">
        <v>60749</v>
      </c>
      <c r="B9" s="323">
        <v>948128</v>
      </c>
      <c r="C9" s="80">
        <v>82875</v>
      </c>
      <c r="D9" s="80">
        <f t="shared" si="0"/>
        <v>-865253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-105729</v>
      </c>
    </row>
    <row r="19" spans="1:5" x14ac:dyDescent="0.2">
      <c r="A19" s="32" t="s">
        <v>84</v>
      </c>
      <c r="B19" s="69"/>
      <c r="C19" s="69"/>
      <c r="D19" s="73">
        <f>+summary!H4</f>
        <v>2.88</v>
      </c>
    </row>
    <row r="20" spans="1:5" x14ac:dyDescent="0.2">
      <c r="B20" s="69"/>
      <c r="C20" s="69"/>
      <c r="D20" s="75">
        <f>+D19*D18</f>
        <v>-304499.51999999996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50">
        <v>704039.33</v>
      </c>
      <c r="E22" s="254"/>
    </row>
    <row r="23" spans="1:5" x14ac:dyDescent="0.2">
      <c r="B23" s="69"/>
      <c r="C23" s="80"/>
      <c r="D23" s="298"/>
      <c r="E23" s="254"/>
    </row>
    <row r="24" spans="1:5" ht="10.8" thickBot="1" x14ac:dyDescent="0.25">
      <c r="A24" s="49">
        <v>37125</v>
      </c>
      <c r="B24" s="69"/>
      <c r="C24" s="69"/>
      <c r="D24" s="351">
        <f>+D22+D20</f>
        <v>399539.81</v>
      </c>
      <c r="E24" s="254"/>
    </row>
    <row r="25" spans="1:5" ht="10.8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37125</v>
      </c>
      <c r="D33" s="379">
        <f>+D18</f>
        <v>-105729</v>
      </c>
    </row>
    <row r="34" spans="1:4" x14ac:dyDescent="0.2">
      <c r="D34" s="14">
        <f>+D33+D32</f>
        <v>-25693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B7" sqref="B7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86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9236</v>
      </c>
      <c r="B5" s="364">
        <v>-42230</v>
      </c>
      <c r="C5" s="90">
        <v>-24184</v>
      </c>
      <c r="D5" s="90">
        <f t="shared" ref="D5:D13" si="0">+C5-B5</f>
        <v>18046</v>
      </c>
      <c r="E5" s="69"/>
      <c r="F5" s="70"/>
    </row>
    <row r="6" spans="1:13" x14ac:dyDescent="0.25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364">
        <v>-2225733</v>
      </c>
      <c r="C7" s="90">
        <v>-2341738</v>
      </c>
      <c r="D7" s="90">
        <f t="shared" si="0"/>
        <v>-116005</v>
      </c>
      <c r="E7" s="285"/>
      <c r="F7" s="70"/>
    </row>
    <row r="8" spans="1:13" x14ac:dyDescent="0.25">
      <c r="A8" s="87">
        <v>58710</v>
      </c>
      <c r="B8" s="364">
        <v>-21848</v>
      </c>
      <c r="C8" s="90">
        <v>-880</v>
      </c>
      <c r="D8" s="90">
        <f t="shared" si="0"/>
        <v>20968</v>
      </c>
      <c r="E8" s="285"/>
      <c r="F8" s="70"/>
    </row>
    <row r="9" spans="1:13" x14ac:dyDescent="0.25">
      <c r="A9" s="87">
        <v>60921</v>
      </c>
      <c r="B9" s="319">
        <v>1940904</v>
      </c>
      <c r="C9" s="90">
        <v>1927353</v>
      </c>
      <c r="D9" s="90">
        <f t="shared" si="0"/>
        <v>-13551</v>
      </c>
      <c r="E9" s="285"/>
      <c r="F9" s="70"/>
    </row>
    <row r="10" spans="1:13" x14ac:dyDescent="0.25">
      <c r="A10" s="87">
        <v>78026</v>
      </c>
      <c r="B10" s="364"/>
      <c r="C10" s="90">
        <v>48100</v>
      </c>
      <c r="D10" s="90">
        <f t="shared" si="0"/>
        <v>48100</v>
      </c>
      <c r="E10" s="285"/>
      <c r="F10" s="283"/>
    </row>
    <row r="11" spans="1:13" x14ac:dyDescent="0.25">
      <c r="A11" s="87">
        <v>500084</v>
      </c>
      <c r="B11" s="364">
        <v>-16165</v>
      </c>
      <c r="C11" s="90">
        <v>-20000</v>
      </c>
      <c r="D11" s="90">
        <f t="shared" si="0"/>
        <v>-3835</v>
      </c>
      <c r="E11" s="286"/>
      <c r="F11" s="283"/>
    </row>
    <row r="12" spans="1:13" x14ac:dyDescent="0.25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5">
      <c r="A13" s="87">
        <v>500097</v>
      </c>
      <c r="B13" s="336">
        <v>-11</v>
      </c>
      <c r="C13" s="90"/>
      <c r="D13" s="90">
        <f t="shared" si="0"/>
        <v>11</v>
      </c>
      <c r="E13" s="285"/>
      <c r="F13" s="283"/>
    </row>
    <row r="14" spans="1:13" x14ac:dyDescent="0.25">
      <c r="A14" s="87"/>
      <c r="B14" s="90"/>
      <c r="C14" s="90"/>
      <c r="D14" s="90"/>
      <c r="E14" s="285"/>
      <c r="F14" s="283"/>
    </row>
    <row r="15" spans="1:13" x14ac:dyDescent="0.25">
      <c r="A15" s="87"/>
      <c r="B15" s="90"/>
      <c r="C15" s="90"/>
      <c r="D15" s="90"/>
      <c r="E15" s="285"/>
      <c r="F15" s="283"/>
    </row>
    <row r="16" spans="1:13" x14ac:dyDescent="0.25">
      <c r="A16" s="87"/>
      <c r="B16" s="88"/>
      <c r="C16" s="88"/>
      <c r="D16" s="94"/>
      <c r="E16" s="285"/>
      <c r="F16" s="283"/>
    </row>
    <row r="17" spans="1:7" x14ac:dyDescent="0.25">
      <c r="A17" s="87"/>
      <c r="B17" s="88"/>
      <c r="C17" s="88"/>
      <c r="D17" s="88">
        <f>SUM(D5:D16)</f>
        <v>-46266</v>
      </c>
      <c r="E17" s="285"/>
      <c r="F17" s="283"/>
    </row>
    <row r="18" spans="1:7" x14ac:dyDescent="0.25">
      <c r="A18" s="87" t="s">
        <v>84</v>
      </c>
      <c r="B18" s="88"/>
      <c r="C18" s="88"/>
      <c r="D18" s="95">
        <f>+summary!H4</f>
        <v>2.88</v>
      </c>
      <c r="E18" s="287"/>
      <c r="F18" s="283"/>
    </row>
    <row r="19" spans="1:7" x14ac:dyDescent="0.25">
      <c r="A19" s="87"/>
      <c r="B19" s="88"/>
      <c r="C19" s="88"/>
      <c r="D19" s="96">
        <f>+D18*D17</f>
        <v>-133246.07999999999</v>
      </c>
      <c r="E19" s="209"/>
      <c r="F19" s="284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37103</v>
      </c>
      <c r="B21" s="88"/>
      <c r="C21" s="88"/>
      <c r="D21" s="455">
        <v>296780.46999999997</v>
      </c>
      <c r="E21" s="209"/>
      <c r="F21" s="66"/>
    </row>
    <row r="22" spans="1:7" x14ac:dyDescent="0.25">
      <c r="A22" s="87"/>
      <c r="B22" s="88"/>
      <c r="C22" s="88"/>
      <c r="D22" s="322"/>
      <c r="E22" s="209"/>
      <c r="F22" s="66"/>
    </row>
    <row r="23" spans="1:7" ht="13.8" thickBot="1" x14ac:dyDescent="0.3">
      <c r="A23" s="99">
        <v>37123</v>
      </c>
      <c r="B23" s="88"/>
      <c r="C23" s="88"/>
      <c r="D23" s="334">
        <f>+D21+D19</f>
        <v>163534.38999999998</v>
      </c>
      <c r="E23" s="209"/>
      <c r="F23" s="66"/>
    </row>
    <row r="24" spans="1:7" ht="13.8" thickTop="1" x14ac:dyDescent="0.25">
      <c r="E24" s="288"/>
    </row>
    <row r="25" spans="1:7" x14ac:dyDescent="0.25">
      <c r="E25" s="288"/>
    </row>
    <row r="27" spans="1:7" x14ac:dyDescent="0.25">
      <c r="A27" s="32" t="s">
        <v>157</v>
      </c>
      <c r="B27" s="32"/>
      <c r="C27" s="32"/>
      <c r="D27" s="32"/>
    </row>
    <row r="28" spans="1:7" x14ac:dyDescent="0.25">
      <c r="A28" s="49">
        <f>+A21</f>
        <v>37103</v>
      </c>
      <c r="B28" s="32"/>
      <c r="C28" s="32"/>
      <c r="D28" s="212">
        <v>67620</v>
      </c>
    </row>
    <row r="29" spans="1:7" x14ac:dyDescent="0.25">
      <c r="A29" s="49">
        <v>37114</v>
      </c>
      <c r="B29" s="32"/>
      <c r="C29" s="32"/>
      <c r="D29" s="379">
        <f>+D17</f>
        <v>-46266</v>
      </c>
    </row>
    <row r="30" spans="1:7" x14ac:dyDescent="0.25">
      <c r="A30" s="32"/>
      <c r="B30" s="32"/>
      <c r="C30" s="32"/>
      <c r="D30" s="14">
        <f>+D29+D28</f>
        <v>21354</v>
      </c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05"/>
      <c r="E36" s="69"/>
      <c r="F36" s="70"/>
      <c r="G36" s="32"/>
    </row>
    <row r="37" spans="1:7" x14ac:dyDescent="0.25">
      <c r="B37" s="69"/>
      <c r="C37" s="69"/>
      <c r="D37" s="305"/>
      <c r="E37" s="69"/>
      <c r="F37" s="70"/>
      <c r="G37" s="32"/>
    </row>
    <row r="38" spans="1:7" x14ac:dyDescent="0.25">
      <c r="B38" s="69"/>
      <c r="C38" s="69"/>
      <c r="D38" s="305"/>
      <c r="E38" s="69"/>
      <c r="F38" s="70"/>
      <c r="G38" s="32"/>
    </row>
    <row r="39" spans="1:7" x14ac:dyDescent="0.25">
      <c r="B39" s="69"/>
      <c r="C39" s="69"/>
      <c r="D39" s="305"/>
      <c r="E39" s="69"/>
      <c r="F39" s="70"/>
      <c r="G39" s="32"/>
    </row>
    <row r="40" spans="1:7" x14ac:dyDescent="0.25">
      <c r="B40" s="69"/>
      <c r="C40" s="69"/>
      <c r="D40" s="305"/>
      <c r="E40" s="69"/>
      <c r="F40" s="70"/>
      <c r="G40" s="32"/>
    </row>
    <row r="41" spans="1:7" x14ac:dyDescent="0.25">
      <c r="B41" s="69"/>
      <c r="C41" s="69"/>
      <c r="D41" s="305"/>
      <c r="E41" s="69"/>
      <c r="F41" s="70"/>
      <c r="G41" s="32"/>
    </row>
    <row r="42" spans="1:7" x14ac:dyDescent="0.25">
      <c r="B42" s="69"/>
      <c r="C42" s="69"/>
      <c r="D42" s="305"/>
      <c r="E42" s="69"/>
      <c r="F42" s="70"/>
      <c r="G42" s="32"/>
    </row>
    <row r="43" spans="1:7" x14ac:dyDescent="0.25">
      <c r="B43" s="69"/>
      <c r="C43" s="69"/>
      <c r="D43" s="305"/>
      <c r="E43" s="69"/>
      <c r="F43" s="70"/>
      <c r="G43" s="32"/>
    </row>
    <row r="44" spans="1:7" x14ac:dyDescent="0.25">
      <c r="B44" s="69"/>
      <c r="C44" s="69"/>
      <c r="D44" s="306"/>
      <c r="E44" s="285"/>
      <c r="F44" s="283"/>
      <c r="G44" s="206"/>
    </row>
    <row r="45" spans="1:7" x14ac:dyDescent="0.25">
      <c r="B45" s="69"/>
      <c r="C45" s="69"/>
      <c r="D45" s="306"/>
      <c r="E45" s="285"/>
      <c r="F45" s="283"/>
      <c r="G45" s="206"/>
    </row>
    <row r="46" spans="1:7" x14ac:dyDescent="0.25">
      <c r="A46" s="32"/>
      <c r="B46" s="69"/>
      <c r="C46" s="69"/>
      <c r="D46" s="285"/>
      <c r="E46" s="285"/>
      <c r="F46" s="283"/>
      <c r="G46" s="206"/>
    </row>
    <row r="47" spans="1:7" x14ac:dyDescent="0.25">
      <c r="A47" s="32"/>
      <c r="B47" s="69"/>
      <c r="C47" s="69"/>
      <c r="D47" s="287"/>
      <c r="E47" s="287"/>
      <c r="F47" s="283"/>
      <c r="G47" s="206"/>
    </row>
    <row r="48" spans="1:7" x14ac:dyDescent="0.25">
      <c r="B48" s="69"/>
      <c r="C48" s="69"/>
      <c r="D48" s="285"/>
      <c r="E48" s="285"/>
      <c r="F48" s="284"/>
      <c r="G48" s="206"/>
    </row>
    <row r="49" spans="1:7" x14ac:dyDescent="0.25">
      <c r="B49" s="69"/>
      <c r="C49" s="69"/>
      <c r="D49" s="285"/>
      <c r="E49" s="285"/>
      <c r="F49" s="284"/>
      <c r="G49" s="206"/>
    </row>
    <row r="50" spans="1:7" x14ac:dyDescent="0.25">
      <c r="C50" s="302"/>
      <c r="D50" s="302"/>
      <c r="E50" s="302"/>
      <c r="F50" s="303"/>
      <c r="G50" s="304"/>
    </row>
    <row r="51" spans="1:7" x14ac:dyDescent="0.25">
      <c r="A51" s="32"/>
      <c r="C51" s="302"/>
      <c r="D51" s="302"/>
      <c r="E51" s="302"/>
      <c r="F51" s="303"/>
    </row>
    <row r="52" spans="1:7" x14ac:dyDescent="0.25">
      <c r="A52" s="32"/>
      <c r="C52" s="302"/>
      <c r="D52" s="302"/>
      <c r="E52" s="302"/>
      <c r="F52" s="303"/>
    </row>
    <row r="53" spans="1:7" x14ac:dyDescent="0.25">
      <c r="A53" s="32"/>
      <c r="C53" s="302"/>
      <c r="D53" s="302"/>
      <c r="E53" s="302"/>
      <c r="F53" s="303"/>
    </row>
    <row r="54" spans="1:7" x14ac:dyDescent="0.25">
      <c r="A54" s="32"/>
      <c r="C54" s="302"/>
      <c r="D54" s="302"/>
      <c r="E54" s="302"/>
      <c r="F54" s="303"/>
    </row>
    <row r="55" spans="1:7" x14ac:dyDescent="0.25">
      <c r="A55" s="32"/>
      <c r="C55" s="302"/>
      <c r="D55" s="302"/>
      <c r="E55" s="288"/>
      <c r="F55" s="288"/>
    </row>
    <row r="56" spans="1:7" x14ac:dyDescent="0.25">
      <c r="C56" s="302"/>
      <c r="D56" s="302"/>
      <c r="E56" s="288"/>
      <c r="F56" s="288"/>
    </row>
    <row r="57" spans="1:7" x14ac:dyDescent="0.25">
      <c r="C57" s="302"/>
      <c r="D57" s="302"/>
      <c r="E57" s="288"/>
      <c r="F57" s="288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6" workbookViewId="3">
      <selection activeCell="C48" sqref="C48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5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5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5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5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5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5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5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5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5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5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5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5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5">
      <c r="A15">
        <v>13</v>
      </c>
      <c r="B15" s="88">
        <v>46816</v>
      </c>
      <c r="C15" s="88">
        <v>46871</v>
      </c>
      <c r="D15" s="88"/>
      <c r="E15" s="88"/>
      <c r="F15" s="90">
        <f t="shared" si="0"/>
        <v>55</v>
      </c>
    </row>
    <row r="16" spans="1:6" x14ac:dyDescent="0.25">
      <c r="A16">
        <v>14</v>
      </c>
      <c r="B16" s="88">
        <v>44923</v>
      </c>
      <c r="C16" s="88">
        <v>44937</v>
      </c>
      <c r="D16" s="88"/>
      <c r="E16" s="88"/>
      <c r="F16" s="90">
        <f t="shared" si="0"/>
        <v>14</v>
      </c>
    </row>
    <row r="17" spans="1:6" x14ac:dyDescent="0.25">
      <c r="A17">
        <v>15</v>
      </c>
      <c r="B17" s="88">
        <v>49883</v>
      </c>
      <c r="C17" s="88">
        <v>44937</v>
      </c>
      <c r="D17" s="14"/>
      <c r="E17" s="14"/>
      <c r="F17" s="90">
        <f t="shared" si="0"/>
        <v>-4946</v>
      </c>
    </row>
    <row r="18" spans="1:6" x14ac:dyDescent="0.25">
      <c r="A18">
        <v>16</v>
      </c>
      <c r="B18" s="88">
        <v>51915</v>
      </c>
      <c r="C18" s="88">
        <v>46937</v>
      </c>
      <c r="D18" s="14"/>
      <c r="E18" s="14"/>
      <c r="F18" s="90">
        <f t="shared" si="0"/>
        <v>-4978</v>
      </c>
    </row>
    <row r="19" spans="1:6" x14ac:dyDescent="0.25">
      <c r="A19">
        <v>17</v>
      </c>
      <c r="B19" s="88">
        <v>54916</v>
      </c>
      <c r="C19" s="88">
        <v>49937</v>
      </c>
      <c r="D19" s="14"/>
      <c r="E19" s="14"/>
      <c r="F19" s="90">
        <f t="shared" si="0"/>
        <v>-4979</v>
      </c>
    </row>
    <row r="20" spans="1:6" x14ac:dyDescent="0.25">
      <c r="A20">
        <v>18</v>
      </c>
      <c r="B20" s="346">
        <v>63907</v>
      </c>
      <c r="C20" s="346">
        <v>58936</v>
      </c>
      <c r="D20" s="14"/>
      <c r="E20" s="14"/>
      <c r="F20" s="90">
        <f t="shared" si="0"/>
        <v>-4971</v>
      </c>
    </row>
    <row r="21" spans="1:6" x14ac:dyDescent="0.25">
      <c r="A21">
        <v>19</v>
      </c>
      <c r="B21" s="346">
        <v>63938</v>
      </c>
      <c r="C21" s="346">
        <v>58937</v>
      </c>
      <c r="D21" s="14"/>
      <c r="E21" s="14"/>
      <c r="F21" s="90">
        <f t="shared" si="0"/>
        <v>-5001</v>
      </c>
    </row>
    <row r="22" spans="1:6" x14ac:dyDescent="0.25">
      <c r="A22">
        <v>20</v>
      </c>
      <c r="B22" s="346">
        <v>58756</v>
      </c>
      <c r="C22" s="346">
        <v>58727</v>
      </c>
      <c r="D22" s="14"/>
      <c r="E22" s="14"/>
      <c r="F22" s="90">
        <f t="shared" si="0"/>
        <v>-29</v>
      </c>
    </row>
    <row r="23" spans="1:6" x14ac:dyDescent="0.25">
      <c r="A23">
        <v>21</v>
      </c>
      <c r="B23" s="346">
        <v>49619</v>
      </c>
      <c r="C23" s="346">
        <v>49630</v>
      </c>
      <c r="D23" s="14"/>
      <c r="E23" s="14"/>
      <c r="F23" s="90">
        <f t="shared" si="0"/>
        <v>11</v>
      </c>
    </row>
    <row r="24" spans="1:6" x14ac:dyDescent="0.25">
      <c r="A24">
        <v>22</v>
      </c>
      <c r="B24" s="346">
        <v>62677</v>
      </c>
      <c r="C24" s="346">
        <v>62726</v>
      </c>
      <c r="D24" s="14"/>
      <c r="E24" s="14"/>
      <c r="F24" s="90">
        <f t="shared" si="0"/>
        <v>49</v>
      </c>
    </row>
    <row r="25" spans="1:6" x14ac:dyDescent="0.25">
      <c r="A25">
        <v>23</v>
      </c>
      <c r="B25" s="346"/>
      <c r="C25" s="346"/>
      <c r="D25" s="14"/>
      <c r="E25" s="14"/>
      <c r="F25" s="90">
        <f t="shared" si="0"/>
        <v>0</v>
      </c>
    </row>
    <row r="26" spans="1:6" x14ac:dyDescent="0.25">
      <c r="A26">
        <v>24</v>
      </c>
      <c r="B26" s="346"/>
      <c r="C26" s="346"/>
      <c r="D26" s="14"/>
      <c r="E26" s="14"/>
      <c r="F26" s="90">
        <f t="shared" si="0"/>
        <v>0</v>
      </c>
    </row>
    <row r="27" spans="1:6" x14ac:dyDescent="0.25">
      <c r="A27">
        <v>25</v>
      </c>
      <c r="B27" s="346"/>
      <c r="C27" s="346"/>
      <c r="D27" s="14"/>
      <c r="E27" s="14"/>
      <c r="F27" s="90">
        <f t="shared" si="0"/>
        <v>0</v>
      </c>
    </row>
    <row r="28" spans="1:6" x14ac:dyDescent="0.25">
      <c r="A28">
        <v>26</v>
      </c>
      <c r="B28" s="346"/>
      <c r="C28" s="346"/>
      <c r="D28" s="14"/>
      <c r="E28" s="14"/>
      <c r="F28" s="90">
        <f t="shared" si="0"/>
        <v>0</v>
      </c>
    </row>
    <row r="29" spans="1:6" x14ac:dyDescent="0.25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5">
      <c r="A30">
        <v>28</v>
      </c>
      <c r="B30" s="346"/>
      <c r="C30" s="346"/>
      <c r="D30" s="14"/>
      <c r="E30" s="14"/>
      <c r="F30" s="90">
        <f t="shared" si="0"/>
        <v>0</v>
      </c>
    </row>
    <row r="31" spans="1:6" x14ac:dyDescent="0.25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5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5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5">
      <c r="B34" s="297">
        <f>SUM(B3:B33)</f>
        <v>977576</v>
      </c>
      <c r="C34" s="297">
        <f>SUM(C3:C33)</f>
        <v>963882</v>
      </c>
      <c r="D34" s="14">
        <f>SUM(D3:D33)</f>
        <v>-965</v>
      </c>
      <c r="E34" s="14">
        <f>SUM(E3:E33)</f>
        <v>0</v>
      </c>
      <c r="F34" s="14">
        <f>SUM(F3:F33)</f>
        <v>-12729</v>
      </c>
    </row>
    <row r="35" spans="1:6" x14ac:dyDescent="0.25">
      <c r="D35" s="14"/>
      <c r="E35" s="14"/>
      <c r="F35" s="14"/>
    </row>
    <row r="36" spans="1:6" x14ac:dyDescent="0.25">
      <c r="F36" s="350"/>
    </row>
    <row r="37" spans="1:6" x14ac:dyDescent="0.25">
      <c r="A37" s="263">
        <v>37103</v>
      </c>
      <c r="B37" s="14"/>
      <c r="C37" s="14"/>
      <c r="D37" s="14"/>
      <c r="E37" s="14"/>
      <c r="F37" s="449">
        <f>120271+30271</f>
        <v>150542</v>
      </c>
    </row>
    <row r="38" spans="1:6" x14ac:dyDescent="0.25">
      <c r="A38" s="263">
        <v>37125</v>
      </c>
      <c r="B38" s="14"/>
      <c r="C38" s="14"/>
      <c r="D38" s="14"/>
      <c r="E38" s="14"/>
      <c r="F38" s="150">
        <f>+F37+F34</f>
        <v>137813</v>
      </c>
    </row>
    <row r="39" spans="1:6" x14ac:dyDescent="0.25">
      <c r="F39" s="304"/>
    </row>
    <row r="40" spans="1:6" x14ac:dyDescent="0.25">
      <c r="F40" s="304"/>
    </row>
    <row r="41" spans="1:6" x14ac:dyDescent="0.25">
      <c r="F41" s="304"/>
    </row>
    <row r="42" spans="1:6" x14ac:dyDescent="0.25">
      <c r="A42" s="32" t="s">
        <v>158</v>
      </c>
      <c r="B42" s="32"/>
      <c r="C42" s="32"/>
      <c r="D42" s="47"/>
      <c r="F42" s="304"/>
    </row>
    <row r="43" spans="1:6" x14ac:dyDescent="0.25">
      <c r="A43" s="49">
        <f>+A37</f>
        <v>37103</v>
      </c>
      <c r="B43" s="32"/>
      <c r="C43" s="32"/>
      <c r="D43" s="443">
        <f>201367.37+184384.51</f>
        <v>385751.88</v>
      </c>
      <c r="F43" s="304"/>
    </row>
    <row r="44" spans="1:6" x14ac:dyDescent="0.25">
      <c r="A44" s="49">
        <f>+A38</f>
        <v>37125</v>
      </c>
      <c r="B44" s="32"/>
      <c r="C44" s="32"/>
      <c r="D44" s="408">
        <f>+F34*'by type'!J4</f>
        <v>-36659.519999999997</v>
      </c>
      <c r="F44" s="304"/>
    </row>
    <row r="45" spans="1:6" x14ac:dyDescent="0.25">
      <c r="A45" s="32"/>
      <c r="B45" s="32"/>
      <c r="C45" s="32"/>
      <c r="D45" s="202">
        <f>+D44+D43</f>
        <v>349092.36</v>
      </c>
      <c r="F45" s="304"/>
    </row>
    <row r="46" spans="1:6" x14ac:dyDescent="0.25">
      <c r="F46" s="304"/>
    </row>
    <row r="47" spans="1:6" x14ac:dyDescent="0.25">
      <c r="F47" s="304"/>
    </row>
    <row r="48" spans="1:6" x14ac:dyDescent="0.25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0" workbookViewId="3">
      <selection activeCell="C26" sqref="C26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5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5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5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5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5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5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5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5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5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5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5">
      <c r="A15" s="10">
        <v>12</v>
      </c>
      <c r="B15" s="11">
        <v>-20140</v>
      </c>
      <c r="C15" s="11">
        <v>-19726</v>
      </c>
      <c r="D15" s="25">
        <f t="shared" si="0"/>
        <v>414</v>
      </c>
    </row>
    <row r="16" spans="1:4" x14ac:dyDescent="0.25">
      <c r="A16" s="10">
        <v>13</v>
      </c>
      <c r="B16" s="11">
        <v>-19791</v>
      </c>
      <c r="C16" s="11">
        <v>-20000</v>
      </c>
      <c r="D16" s="25">
        <f t="shared" si="0"/>
        <v>-209</v>
      </c>
    </row>
    <row r="17" spans="1:4" x14ac:dyDescent="0.25">
      <c r="A17" s="10">
        <v>14</v>
      </c>
      <c r="B17" s="11">
        <v>-20311</v>
      </c>
      <c r="C17" s="11">
        <v>-20000</v>
      </c>
      <c r="D17" s="25">
        <f t="shared" si="0"/>
        <v>311</v>
      </c>
    </row>
    <row r="18" spans="1:4" x14ac:dyDescent="0.25">
      <c r="A18" s="10">
        <v>15</v>
      </c>
      <c r="B18" s="11">
        <v>-26129</v>
      </c>
      <c r="C18" s="11">
        <v>-25702</v>
      </c>
      <c r="D18" s="25">
        <f t="shared" si="0"/>
        <v>427</v>
      </c>
    </row>
    <row r="19" spans="1:4" x14ac:dyDescent="0.25">
      <c r="A19" s="10">
        <v>16</v>
      </c>
      <c r="B19" s="11">
        <v>-20992</v>
      </c>
      <c r="C19" s="11">
        <v>-20000</v>
      </c>
      <c r="D19" s="25">
        <f t="shared" si="0"/>
        <v>992</v>
      </c>
    </row>
    <row r="20" spans="1:4" x14ac:dyDescent="0.25">
      <c r="A20" s="10">
        <v>17</v>
      </c>
      <c r="B20" s="11">
        <v>-20037</v>
      </c>
      <c r="C20" s="11">
        <v>-20000</v>
      </c>
      <c r="D20" s="25">
        <f t="shared" si="0"/>
        <v>37</v>
      </c>
    </row>
    <row r="21" spans="1:4" x14ac:dyDescent="0.25">
      <c r="A21" s="10">
        <v>18</v>
      </c>
      <c r="B21" s="11">
        <v>-24168</v>
      </c>
      <c r="C21" s="11">
        <v>-23202</v>
      </c>
      <c r="D21" s="25">
        <f t="shared" si="0"/>
        <v>966</v>
      </c>
    </row>
    <row r="22" spans="1:4" x14ac:dyDescent="0.25">
      <c r="A22" s="10">
        <v>19</v>
      </c>
      <c r="B22" s="11">
        <v>-23086</v>
      </c>
      <c r="C22" s="11">
        <v>-23202</v>
      </c>
      <c r="D22" s="25">
        <f t="shared" si="0"/>
        <v>-116</v>
      </c>
    </row>
    <row r="23" spans="1:4" x14ac:dyDescent="0.25">
      <c r="A23" s="10">
        <v>20</v>
      </c>
      <c r="B23" s="11">
        <v>-23625</v>
      </c>
      <c r="C23" s="11">
        <v>-23202</v>
      </c>
      <c r="D23" s="25">
        <f t="shared" si="0"/>
        <v>423</v>
      </c>
    </row>
    <row r="24" spans="1:4" x14ac:dyDescent="0.25">
      <c r="A24" s="10">
        <v>21</v>
      </c>
      <c r="B24" s="11">
        <v>-21002</v>
      </c>
      <c r="C24" s="11">
        <v>-20468</v>
      </c>
      <c r="D24" s="25">
        <f t="shared" si="0"/>
        <v>534</v>
      </c>
    </row>
    <row r="25" spans="1:4" x14ac:dyDescent="0.25">
      <c r="A25" s="10">
        <v>22</v>
      </c>
      <c r="B25" s="11">
        <v>-20992</v>
      </c>
      <c r="C25" s="11">
        <v>-20468</v>
      </c>
      <c r="D25" s="25">
        <f t="shared" si="0"/>
        <v>524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-468501</v>
      </c>
      <c r="C35" s="11">
        <f>SUM(C4:C34)</f>
        <v>-457214</v>
      </c>
      <c r="D35" s="11">
        <f>SUM(D4:D34)</f>
        <v>11287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37103</v>
      </c>
      <c r="D38" s="247">
        <v>135803</v>
      </c>
    </row>
    <row r="39" spans="1:4" x14ac:dyDescent="0.25">
      <c r="A39" s="2"/>
      <c r="D39" s="24"/>
    </row>
    <row r="40" spans="1:4" x14ac:dyDescent="0.25">
      <c r="A40" s="57">
        <v>37125</v>
      </c>
      <c r="D40" s="51">
        <f>+D38+D35</f>
        <v>147090</v>
      </c>
    </row>
    <row r="44" spans="1:4" x14ac:dyDescent="0.25">
      <c r="A44" s="32" t="s">
        <v>158</v>
      </c>
      <c r="B44" s="32"/>
      <c r="C44" s="32"/>
      <c r="D44" s="47"/>
    </row>
    <row r="45" spans="1:4" x14ac:dyDescent="0.25">
      <c r="A45" s="49">
        <f>+A38</f>
        <v>37103</v>
      </c>
      <c r="B45" s="32"/>
      <c r="C45" s="32"/>
      <c r="D45" s="202">
        <v>82140</v>
      </c>
    </row>
    <row r="46" spans="1:4" x14ac:dyDescent="0.25">
      <c r="A46" s="49">
        <f>+A40</f>
        <v>37125</v>
      </c>
      <c r="B46" s="32"/>
      <c r="C46" s="32"/>
      <c r="D46" s="408">
        <f>+D35*'by type'!J4</f>
        <v>32506.559999999998</v>
      </c>
    </row>
    <row r="47" spans="1:4" x14ac:dyDescent="0.25">
      <c r="A47" s="32"/>
      <c r="B47" s="32"/>
      <c r="C47" s="32"/>
      <c r="D47" s="202">
        <f>+D46+D45</f>
        <v>114646.56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1" workbookViewId="3">
      <selection activeCell="D24" sqref="D2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22755</v>
      </c>
      <c r="C15" s="11">
        <v>22796</v>
      </c>
      <c r="D15" s="11">
        <v>9161</v>
      </c>
      <c r="E15" s="11">
        <v>8243</v>
      </c>
      <c r="F15" s="11"/>
      <c r="G15" s="11"/>
      <c r="H15" s="11"/>
      <c r="I15" s="11"/>
      <c r="J15" s="11">
        <f t="shared" si="0"/>
        <v>-877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22602</v>
      </c>
      <c r="C16" s="11">
        <v>22816</v>
      </c>
      <c r="D16" s="11">
        <v>8237</v>
      </c>
      <c r="E16" s="11">
        <v>8250</v>
      </c>
      <c r="F16" s="11"/>
      <c r="G16" s="11"/>
      <c r="H16" s="11"/>
      <c r="I16" s="11"/>
      <c r="J16" s="11">
        <f t="shared" si="0"/>
        <v>227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22706</v>
      </c>
      <c r="C17" s="11">
        <v>22816</v>
      </c>
      <c r="D17" s="11">
        <v>9219</v>
      </c>
      <c r="E17" s="11">
        <v>8250</v>
      </c>
      <c r="F17" s="11"/>
      <c r="G17" s="11"/>
      <c r="H17" s="11"/>
      <c r="I17" s="11"/>
      <c r="J17" s="11">
        <f t="shared" si="0"/>
        <v>-859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22564</v>
      </c>
      <c r="C18" s="11">
        <v>22816</v>
      </c>
      <c r="D18" s="11">
        <v>9531</v>
      </c>
      <c r="E18" s="11">
        <v>8250</v>
      </c>
      <c r="F18" s="11"/>
      <c r="G18" s="11"/>
      <c r="H18" s="11"/>
      <c r="I18" s="11"/>
      <c r="J18" s="11">
        <f t="shared" si="0"/>
        <v>-1029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22545</v>
      </c>
      <c r="C19" s="11">
        <v>22418</v>
      </c>
      <c r="D19" s="11">
        <v>9530</v>
      </c>
      <c r="E19" s="11">
        <v>8106</v>
      </c>
      <c r="F19" s="11"/>
      <c r="G19" s="11"/>
      <c r="H19" s="11"/>
      <c r="I19" s="11"/>
      <c r="J19" s="11">
        <f t="shared" si="0"/>
        <v>-1551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22399</v>
      </c>
      <c r="C20" s="11">
        <v>22816</v>
      </c>
      <c r="D20" s="11">
        <v>9520</v>
      </c>
      <c r="E20" s="11">
        <v>8250</v>
      </c>
      <c r="F20" s="11"/>
      <c r="G20" s="11"/>
      <c r="H20" s="11"/>
      <c r="I20" s="11"/>
      <c r="J20" s="11">
        <f t="shared" si="0"/>
        <v>-853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22559</v>
      </c>
      <c r="C21" s="11">
        <v>15898</v>
      </c>
      <c r="D21" s="11">
        <v>9287</v>
      </c>
      <c r="E21" s="11">
        <v>5749</v>
      </c>
      <c r="F21" s="11"/>
      <c r="G21" s="11"/>
      <c r="H21" s="11"/>
      <c r="I21" s="11"/>
      <c r="J21" s="11">
        <f t="shared" si="0"/>
        <v>-10199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22320</v>
      </c>
      <c r="C22" s="11">
        <v>15898</v>
      </c>
      <c r="D22" s="11">
        <v>8830</v>
      </c>
      <c r="E22" s="11">
        <v>5749</v>
      </c>
      <c r="F22" s="11"/>
      <c r="G22" s="11"/>
      <c r="H22" s="11"/>
      <c r="I22" s="11"/>
      <c r="J22" s="11">
        <f t="shared" si="0"/>
        <v>-9503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22134</v>
      </c>
      <c r="C23" s="11">
        <v>17352</v>
      </c>
      <c r="D23" s="11">
        <v>7841</v>
      </c>
      <c r="E23" s="11">
        <v>6274</v>
      </c>
      <c r="F23" s="11"/>
      <c r="G23" s="11"/>
      <c r="H23" s="11"/>
      <c r="I23" s="11"/>
      <c r="J23" s="11">
        <f t="shared" si="0"/>
        <v>-6349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469735</v>
      </c>
      <c r="C35" s="11">
        <f t="shared" ref="C35:I35" si="1">SUM(C4:C34)</f>
        <v>464143</v>
      </c>
      <c r="D35" s="11">
        <f t="shared" si="1"/>
        <v>182629</v>
      </c>
      <c r="E35" s="11">
        <f t="shared" si="1"/>
        <v>161776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-26336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2.88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-75847.679999999993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2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37103</v>
      </c>
      <c r="C39" s="25"/>
      <c r="E39" s="25"/>
      <c r="G39" s="25"/>
      <c r="I39" s="25"/>
      <c r="J39" s="452">
        <v>150097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7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37123</v>
      </c>
      <c r="J41" s="337">
        <f>+J39+J37</f>
        <v>74249.320000000007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2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37123</v>
      </c>
      <c r="B47" s="32"/>
      <c r="C47" s="32"/>
      <c r="D47" s="379">
        <f>+J35</f>
        <v>-26336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-86358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6" workbookViewId="3">
      <selection activeCell="B39" sqref="B39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9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-88622</v>
      </c>
      <c r="C15" s="24">
        <v>-89290</v>
      </c>
      <c r="D15" s="24">
        <v>-8183</v>
      </c>
      <c r="E15" s="24">
        <v>-10000</v>
      </c>
      <c r="F15" s="24">
        <f t="shared" si="0"/>
        <v>-2485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-99079</v>
      </c>
      <c r="C16" s="24">
        <v>-99924</v>
      </c>
      <c r="D16" s="24"/>
      <c r="E16" s="24"/>
      <c r="F16" s="24">
        <f t="shared" si="0"/>
        <v>-845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-99644</v>
      </c>
      <c r="C17" s="24">
        <v>-99924</v>
      </c>
      <c r="D17" s="24"/>
      <c r="E17" s="24"/>
      <c r="F17" s="24">
        <f t="shared" si="0"/>
        <v>-280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-96896</v>
      </c>
      <c r="C18" s="24">
        <v>-99924</v>
      </c>
      <c r="D18" s="24"/>
      <c r="E18" s="24"/>
      <c r="F18" s="24">
        <f t="shared" si="0"/>
        <v>-3028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-60119</v>
      </c>
      <c r="C19" s="24">
        <v>-59502</v>
      </c>
      <c r="D19" s="24">
        <v>-1</v>
      </c>
      <c r="E19" s="24"/>
      <c r="F19" s="24">
        <f t="shared" si="0"/>
        <v>618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-100957</v>
      </c>
      <c r="C20" s="24">
        <v>-100332</v>
      </c>
      <c r="D20" s="24"/>
      <c r="E20" s="24"/>
      <c r="F20" s="24">
        <f t="shared" si="0"/>
        <v>625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-52592</v>
      </c>
      <c r="C21" s="24">
        <v>-50761</v>
      </c>
      <c r="D21" s="24"/>
      <c r="E21" s="24"/>
      <c r="F21" s="24">
        <f t="shared" si="0"/>
        <v>1831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-75444</v>
      </c>
      <c r="C22" s="24">
        <v>-74973</v>
      </c>
      <c r="D22" s="24"/>
      <c r="E22" s="24"/>
      <c r="F22" s="24">
        <f t="shared" si="0"/>
        <v>471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-37835</v>
      </c>
      <c r="C23" s="24">
        <v>-37403</v>
      </c>
      <c r="D23" s="24"/>
      <c r="E23" s="24"/>
      <c r="F23" s="24">
        <f t="shared" si="0"/>
        <v>432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-36917</v>
      </c>
      <c r="C24" s="24">
        <v>-37403</v>
      </c>
      <c r="D24" s="24"/>
      <c r="E24" s="24"/>
      <c r="F24" s="24">
        <f t="shared" si="0"/>
        <v>-486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-27048</v>
      </c>
      <c r="C25" s="24">
        <v>-27119</v>
      </c>
      <c r="D25" s="24"/>
      <c r="E25" s="24"/>
      <c r="F25" s="24">
        <f t="shared" si="0"/>
        <v>-71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-70875</v>
      </c>
      <c r="C26" s="24">
        <v>-74286</v>
      </c>
      <c r="D26" s="24"/>
      <c r="E26" s="24"/>
      <c r="F26" s="24">
        <f t="shared" si="0"/>
        <v>-3411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-59879</v>
      </c>
      <c r="C27" s="24">
        <v>-59332</v>
      </c>
      <c r="D27" s="24"/>
      <c r="E27" s="24"/>
      <c r="F27" s="24">
        <f t="shared" si="0"/>
        <v>547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-1724282</v>
      </c>
      <c r="C37" s="24">
        <f>SUM(C6:C36)</f>
        <v>-1728189</v>
      </c>
      <c r="D37" s="24">
        <f>SUM(D6:D36)</f>
        <v>-46652</v>
      </c>
      <c r="E37" s="24">
        <f>SUM(E6:E36)</f>
        <v>-46908</v>
      </c>
      <c r="F37" s="24">
        <f>SUM(F6:F36)</f>
        <v>-4163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2.88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-11989.439999999999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6">
        <v>37103</v>
      </c>
      <c r="E40" s="14"/>
      <c r="F40" s="451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6">
        <v>37125</v>
      </c>
      <c r="E41" s="14"/>
      <c r="F41" s="104">
        <f>+F40+F39</f>
        <v>457776.47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37125</v>
      </c>
      <c r="B47" s="32"/>
      <c r="C47" s="32"/>
      <c r="D47" s="379">
        <f>+F37</f>
        <v>-4163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24864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8" workbookViewId="3">
      <selection activeCell="A44" sqref="A44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111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5">
      <c r="A40" s="26"/>
      <c r="C40" s="14"/>
      <c r="F40" s="260">
        <f>+summary!H4</f>
        <v>2.88</v>
      </c>
    </row>
    <row r="41" spans="1:6" x14ac:dyDescent="0.25">
      <c r="F41" s="138">
        <f>+F40*F39</f>
        <v>0</v>
      </c>
    </row>
    <row r="42" spans="1:6" x14ac:dyDescent="0.25">
      <c r="A42" s="57">
        <v>37103</v>
      </c>
      <c r="C42" s="15"/>
      <c r="F42" s="359">
        <v>-5216.57</v>
      </c>
    </row>
    <row r="43" spans="1:6" x14ac:dyDescent="0.25">
      <c r="A43" s="57">
        <v>37123</v>
      </c>
      <c r="C43" s="48"/>
      <c r="F43" s="138">
        <f>+F42+F41</f>
        <v>-5216.57</v>
      </c>
    </row>
    <row r="47" spans="1:6" x14ac:dyDescent="0.25">
      <c r="A47" s="32" t="s">
        <v>157</v>
      </c>
      <c r="B47" s="32"/>
      <c r="C47" s="32"/>
      <c r="D47" s="32"/>
    </row>
    <row r="48" spans="1:6" x14ac:dyDescent="0.25">
      <c r="A48" s="49">
        <f>+A42</f>
        <v>37103</v>
      </c>
      <c r="B48" s="32"/>
      <c r="C48" s="32"/>
      <c r="D48" s="212">
        <v>-17302</v>
      </c>
    </row>
    <row r="49" spans="1:4" x14ac:dyDescent="0.25">
      <c r="A49" s="49">
        <f>+A43</f>
        <v>37123</v>
      </c>
      <c r="B49" s="32"/>
      <c r="C49" s="32"/>
      <c r="D49" s="379">
        <f>+F39</f>
        <v>0</v>
      </c>
    </row>
    <row r="50" spans="1:4" x14ac:dyDescent="0.25">
      <c r="A50" s="32"/>
      <c r="B50" s="32"/>
      <c r="C50" s="32"/>
      <c r="D50" s="14">
        <f>+D49+D48</f>
        <v>-17302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B27" sqref="B27"/>
    </sheetView>
  </sheetViews>
  <sheetFormatPr defaultRowHeight="13.2" x14ac:dyDescent="0.25"/>
  <sheetData>
    <row r="5" spans="1:4" ht="13.8" x14ac:dyDescent="0.25">
      <c r="A5" s="134"/>
      <c r="B5" s="34" t="s">
        <v>114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5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5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5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5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5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5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5">
      <c r="A15" s="10">
        <v>8</v>
      </c>
      <c r="B15" s="11">
        <v>0</v>
      </c>
      <c r="C15" s="11">
        <v>7579</v>
      </c>
      <c r="D15" s="25">
        <f t="shared" si="0"/>
        <v>7579</v>
      </c>
    </row>
    <row r="16" spans="1:4" x14ac:dyDescent="0.25">
      <c r="A16" s="10">
        <v>9</v>
      </c>
      <c r="B16" s="11">
        <v>2449</v>
      </c>
      <c r="C16" s="11">
        <v>7579</v>
      </c>
      <c r="D16" s="25">
        <f t="shared" si="0"/>
        <v>5130</v>
      </c>
    </row>
    <row r="17" spans="1:4" x14ac:dyDescent="0.25">
      <c r="A17" s="10">
        <v>10</v>
      </c>
      <c r="B17" s="11">
        <v>7660</v>
      </c>
      <c r="C17" s="11">
        <v>7579</v>
      </c>
      <c r="D17" s="25">
        <f t="shared" si="0"/>
        <v>-81</v>
      </c>
    </row>
    <row r="18" spans="1:4" x14ac:dyDescent="0.25">
      <c r="A18" s="10">
        <v>11</v>
      </c>
      <c r="B18" s="11">
        <v>3951</v>
      </c>
      <c r="C18" s="11">
        <v>7579</v>
      </c>
      <c r="D18" s="25">
        <f t="shared" si="0"/>
        <v>3628</v>
      </c>
    </row>
    <row r="19" spans="1:4" x14ac:dyDescent="0.25">
      <c r="A19" s="10">
        <v>12</v>
      </c>
      <c r="B19" s="11">
        <v>5968</v>
      </c>
      <c r="C19" s="11">
        <v>7579</v>
      </c>
      <c r="D19" s="25">
        <f t="shared" si="0"/>
        <v>1611</v>
      </c>
    </row>
    <row r="20" spans="1:4" x14ac:dyDescent="0.25">
      <c r="A20" s="10">
        <v>13</v>
      </c>
      <c r="B20" s="11">
        <v>5793</v>
      </c>
      <c r="C20" s="11">
        <v>7579</v>
      </c>
      <c r="D20" s="25">
        <f t="shared" si="0"/>
        <v>1786</v>
      </c>
    </row>
    <row r="21" spans="1:4" x14ac:dyDescent="0.25">
      <c r="A21" s="10">
        <v>14</v>
      </c>
      <c r="B21" s="11">
        <v>6933</v>
      </c>
      <c r="C21" s="11">
        <v>7579</v>
      </c>
      <c r="D21" s="25">
        <f t="shared" si="0"/>
        <v>646</v>
      </c>
    </row>
    <row r="22" spans="1:4" x14ac:dyDescent="0.25">
      <c r="A22" s="10">
        <v>15</v>
      </c>
      <c r="B22" s="11">
        <v>7195</v>
      </c>
      <c r="C22" s="11">
        <v>7579</v>
      </c>
      <c r="D22" s="25">
        <f t="shared" si="0"/>
        <v>384</v>
      </c>
    </row>
    <row r="23" spans="1:4" x14ac:dyDescent="0.25">
      <c r="A23" s="10">
        <v>16</v>
      </c>
      <c r="B23" s="11">
        <v>7192</v>
      </c>
      <c r="C23" s="11">
        <v>7579</v>
      </c>
      <c r="D23" s="25">
        <f t="shared" si="0"/>
        <v>387</v>
      </c>
    </row>
    <row r="24" spans="1:4" x14ac:dyDescent="0.25">
      <c r="A24" s="10">
        <v>17</v>
      </c>
      <c r="B24" s="11">
        <v>8173</v>
      </c>
      <c r="C24" s="11">
        <v>7579</v>
      </c>
      <c r="D24" s="25">
        <f t="shared" si="0"/>
        <v>-594</v>
      </c>
    </row>
    <row r="25" spans="1:4" x14ac:dyDescent="0.25">
      <c r="A25" s="10">
        <v>18</v>
      </c>
      <c r="B25" s="11">
        <v>8169</v>
      </c>
      <c r="C25" s="11">
        <v>7579</v>
      </c>
      <c r="D25" s="25">
        <f t="shared" si="0"/>
        <v>-590</v>
      </c>
    </row>
    <row r="26" spans="1:4" x14ac:dyDescent="0.25">
      <c r="A26" s="10">
        <v>19</v>
      </c>
      <c r="B26" s="11">
        <v>7779</v>
      </c>
      <c r="C26" s="11">
        <v>7579</v>
      </c>
      <c r="D26" s="25">
        <f t="shared" si="0"/>
        <v>-200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108529</v>
      </c>
      <c r="C39" s="11">
        <f>SUM(C8:C38)</f>
        <v>144001</v>
      </c>
      <c r="D39" s="25">
        <f>SUM(D8:D38)</f>
        <v>35472</v>
      </c>
    </row>
    <row r="40" spans="1:4" x14ac:dyDescent="0.25">
      <c r="A40" s="26"/>
      <c r="C40" s="14"/>
      <c r="D40" s="260">
        <f>+summary!H4</f>
        <v>2.88</v>
      </c>
    </row>
    <row r="41" spans="1:4" x14ac:dyDescent="0.25">
      <c r="D41" s="138">
        <f>+D40*D39</f>
        <v>102159.36</v>
      </c>
    </row>
    <row r="42" spans="1:4" x14ac:dyDescent="0.25">
      <c r="A42" s="57">
        <v>37103</v>
      </c>
      <c r="C42" s="15"/>
      <c r="D42" s="368">
        <v>326755</v>
      </c>
    </row>
    <row r="43" spans="1:4" x14ac:dyDescent="0.25">
      <c r="A43" s="57">
        <v>37125</v>
      </c>
      <c r="C43" s="48"/>
      <c r="D43" s="138">
        <f>+D42+D41</f>
        <v>428914.36</v>
      </c>
    </row>
    <row r="46" spans="1:4" x14ac:dyDescent="0.25">
      <c r="A46" s="32" t="s">
        <v>157</v>
      </c>
      <c r="B46" s="32"/>
      <c r="C46" s="32"/>
      <c r="D46" s="32"/>
    </row>
    <row r="47" spans="1:4" x14ac:dyDescent="0.25">
      <c r="A47" s="49">
        <f>+A42</f>
        <v>37103</v>
      </c>
      <c r="B47" s="32"/>
      <c r="C47" s="32"/>
      <c r="D47" s="14">
        <v>6289</v>
      </c>
    </row>
    <row r="48" spans="1:4" x14ac:dyDescent="0.25">
      <c r="A48" s="49">
        <f>+A43</f>
        <v>37125</v>
      </c>
      <c r="B48" s="32"/>
      <c r="C48" s="32"/>
      <c r="D48" s="379">
        <f>+D39</f>
        <v>35472</v>
      </c>
    </row>
    <row r="49" spans="1:4" x14ac:dyDescent="0.25">
      <c r="A49" s="32"/>
      <c r="B49" s="32"/>
      <c r="C49" s="32"/>
      <c r="D49" s="14">
        <f>+D48+D47</f>
        <v>41761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3" workbookViewId="3">
      <selection activeCell="C28" sqref="C28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135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5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5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5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5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5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5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5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5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5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5">
      <c r="A16" s="10">
        <v>11</v>
      </c>
      <c r="B16" s="11">
        <v>-77550</v>
      </c>
      <c r="C16" s="11">
        <v>-79499</v>
      </c>
      <c r="D16" s="25">
        <f t="shared" si="0"/>
        <v>-1949</v>
      </c>
    </row>
    <row r="17" spans="1:4" x14ac:dyDescent="0.25">
      <c r="A17" s="10">
        <v>12</v>
      </c>
      <c r="B17" s="11">
        <v>-79020</v>
      </c>
      <c r="C17" s="11">
        <v>-79795</v>
      </c>
      <c r="D17" s="25">
        <f t="shared" si="0"/>
        <v>-775</v>
      </c>
    </row>
    <row r="18" spans="1:4" x14ac:dyDescent="0.25">
      <c r="A18" s="10">
        <v>13</v>
      </c>
      <c r="B18" s="11">
        <v>-81735</v>
      </c>
      <c r="C18" s="11">
        <v>-80070</v>
      </c>
      <c r="D18" s="25">
        <f t="shared" si="0"/>
        <v>1665</v>
      </c>
    </row>
    <row r="19" spans="1:4" x14ac:dyDescent="0.25">
      <c r="A19" s="10">
        <v>14</v>
      </c>
      <c r="B19" s="11">
        <v>-83487</v>
      </c>
      <c r="C19" s="11">
        <v>-80300</v>
      </c>
      <c r="D19" s="25">
        <f t="shared" si="0"/>
        <v>3187</v>
      </c>
    </row>
    <row r="20" spans="1:4" x14ac:dyDescent="0.25">
      <c r="A20" s="10">
        <v>15</v>
      </c>
      <c r="B20" s="11">
        <v>-61528</v>
      </c>
      <c r="C20" s="11">
        <v>-59563</v>
      </c>
      <c r="D20" s="25">
        <f t="shared" si="0"/>
        <v>1965</v>
      </c>
    </row>
    <row r="21" spans="1:4" x14ac:dyDescent="0.25">
      <c r="A21" s="10">
        <v>16</v>
      </c>
      <c r="B21" s="11">
        <v>-41521</v>
      </c>
      <c r="C21" s="11">
        <v>-50000</v>
      </c>
      <c r="D21" s="25">
        <f t="shared" si="0"/>
        <v>-8479</v>
      </c>
    </row>
    <row r="22" spans="1:4" x14ac:dyDescent="0.25">
      <c r="A22" s="10">
        <v>17</v>
      </c>
      <c r="B22" s="11">
        <v>-42402</v>
      </c>
      <c r="C22" s="11">
        <v>-50000</v>
      </c>
      <c r="D22" s="25">
        <f t="shared" si="0"/>
        <v>-7598</v>
      </c>
    </row>
    <row r="23" spans="1:4" x14ac:dyDescent="0.25">
      <c r="A23" s="10">
        <v>18</v>
      </c>
      <c r="B23" s="11">
        <v>-52322</v>
      </c>
      <c r="C23" s="11">
        <v>-50000</v>
      </c>
      <c r="D23" s="25">
        <f t="shared" si="0"/>
        <v>2322</v>
      </c>
    </row>
    <row r="24" spans="1:4" x14ac:dyDescent="0.25">
      <c r="A24" s="10">
        <v>19</v>
      </c>
      <c r="B24" s="11">
        <v>-79654</v>
      </c>
      <c r="C24" s="11">
        <v>-48847</v>
      </c>
      <c r="D24" s="25">
        <f t="shared" si="0"/>
        <v>30807</v>
      </c>
    </row>
    <row r="25" spans="1:4" x14ac:dyDescent="0.25">
      <c r="A25" s="10">
        <v>20</v>
      </c>
      <c r="B25" s="11">
        <v>-81639</v>
      </c>
      <c r="C25" s="11">
        <v>-60462</v>
      </c>
      <c r="D25" s="25">
        <f t="shared" si="0"/>
        <v>21177</v>
      </c>
    </row>
    <row r="26" spans="1:4" x14ac:dyDescent="0.25">
      <c r="A26" s="10">
        <v>21</v>
      </c>
      <c r="B26" s="11">
        <v>-82328</v>
      </c>
      <c r="C26" s="11">
        <v>-89045</v>
      </c>
      <c r="D26" s="25">
        <f t="shared" si="0"/>
        <v>-6717</v>
      </c>
    </row>
    <row r="27" spans="1:4" x14ac:dyDescent="0.25">
      <c r="A27" s="10">
        <v>22</v>
      </c>
      <c r="B27" s="11">
        <v>-70813</v>
      </c>
      <c r="C27" s="11">
        <v>-65162</v>
      </c>
      <c r="D27" s="25">
        <f t="shared" si="0"/>
        <v>5651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-1494318</v>
      </c>
      <c r="C37" s="11">
        <f>SUM(C6:C36)</f>
        <v>-1458792</v>
      </c>
      <c r="D37" s="25">
        <f>SUM(D6:D36)</f>
        <v>35526</v>
      </c>
    </row>
    <row r="38" spans="1:4" x14ac:dyDescent="0.25">
      <c r="A38" s="26"/>
      <c r="C38" s="14"/>
      <c r="D38" s="345">
        <f>+summary!H4</f>
        <v>2.88</v>
      </c>
    </row>
    <row r="39" spans="1:4" x14ac:dyDescent="0.25">
      <c r="D39" s="138">
        <f>+D38*D37</f>
        <v>102314.87999999999</v>
      </c>
    </row>
    <row r="40" spans="1:4" x14ac:dyDescent="0.25">
      <c r="A40" s="57">
        <v>37103</v>
      </c>
      <c r="C40" s="15"/>
      <c r="D40" s="460">
        <v>21736.76</v>
      </c>
    </row>
    <row r="41" spans="1:4" x14ac:dyDescent="0.25">
      <c r="A41" s="57">
        <v>37125</v>
      </c>
      <c r="C41" s="48"/>
      <c r="D41" s="138">
        <f>+D40+D39</f>
        <v>124051.63999999998</v>
      </c>
    </row>
    <row r="44" spans="1:4" x14ac:dyDescent="0.25">
      <c r="A44" s="32" t="s">
        <v>157</v>
      </c>
      <c r="B44" s="32"/>
      <c r="C44" s="32"/>
      <c r="D44" s="32"/>
    </row>
    <row r="45" spans="1:4" x14ac:dyDescent="0.25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5">
      <c r="A46" s="49">
        <f>+A41</f>
        <v>37125</v>
      </c>
      <c r="B46" s="32"/>
      <c r="C46" s="32"/>
      <c r="D46" s="379">
        <f>+D37</f>
        <v>35526</v>
      </c>
    </row>
    <row r="47" spans="1:4" x14ac:dyDescent="0.25">
      <c r="A47" s="32"/>
      <c r="B47" s="32"/>
      <c r="C47" s="32"/>
      <c r="D47" s="14">
        <f>+D46+D45</f>
        <v>144376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34" workbookViewId="3">
      <selection activeCell="C56" sqref="C56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5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5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5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5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5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5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5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5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5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5">
      <c r="A16" s="10">
        <v>11</v>
      </c>
      <c r="B16" s="129">
        <v>39852</v>
      </c>
      <c r="C16" s="11">
        <v>38499</v>
      </c>
      <c r="D16" s="25">
        <f t="shared" si="0"/>
        <v>-1353</v>
      </c>
    </row>
    <row r="17" spans="1:4" x14ac:dyDescent="0.25">
      <c r="A17" s="10">
        <v>12</v>
      </c>
      <c r="B17" s="129">
        <v>18864</v>
      </c>
      <c r="C17" s="11">
        <v>24382</v>
      </c>
      <c r="D17" s="25">
        <f t="shared" si="0"/>
        <v>5518</v>
      </c>
    </row>
    <row r="18" spans="1:4" x14ac:dyDescent="0.25">
      <c r="A18" s="10">
        <v>13</v>
      </c>
      <c r="B18" s="129">
        <v>34489</v>
      </c>
      <c r="C18" s="11">
        <v>35457</v>
      </c>
      <c r="D18" s="25">
        <f t="shared" si="0"/>
        <v>968</v>
      </c>
    </row>
    <row r="19" spans="1:4" x14ac:dyDescent="0.25">
      <c r="A19" s="10">
        <v>14</v>
      </c>
      <c r="B19" s="129">
        <v>40193</v>
      </c>
      <c r="C19" s="11">
        <v>39600</v>
      </c>
      <c r="D19" s="25">
        <f t="shared" si="0"/>
        <v>-593</v>
      </c>
    </row>
    <row r="20" spans="1:4" x14ac:dyDescent="0.25">
      <c r="A20" s="10">
        <v>15</v>
      </c>
      <c r="B20" s="129">
        <v>40662</v>
      </c>
      <c r="C20" s="11">
        <v>38879</v>
      </c>
      <c r="D20" s="25">
        <f t="shared" si="0"/>
        <v>-1783</v>
      </c>
    </row>
    <row r="21" spans="1:4" x14ac:dyDescent="0.25">
      <c r="A21" s="10">
        <v>16</v>
      </c>
      <c r="B21" s="11">
        <v>38470</v>
      </c>
      <c r="C21" s="11">
        <v>39600</v>
      </c>
      <c r="D21" s="25">
        <f t="shared" si="0"/>
        <v>1130</v>
      </c>
    </row>
    <row r="22" spans="1:4" x14ac:dyDescent="0.25">
      <c r="A22" s="10">
        <v>17</v>
      </c>
      <c r="B22" s="11">
        <v>40314</v>
      </c>
      <c r="C22" s="11">
        <v>39600</v>
      </c>
      <c r="D22" s="25">
        <f t="shared" si="0"/>
        <v>-714</v>
      </c>
    </row>
    <row r="23" spans="1:4" x14ac:dyDescent="0.25">
      <c r="A23" s="10">
        <v>18</v>
      </c>
      <c r="B23" s="11">
        <v>40863</v>
      </c>
      <c r="C23" s="11">
        <v>39600</v>
      </c>
      <c r="D23" s="25">
        <f t="shared" si="0"/>
        <v>-1263</v>
      </c>
    </row>
    <row r="24" spans="1:4" x14ac:dyDescent="0.25">
      <c r="A24" s="10">
        <v>19</v>
      </c>
      <c r="B24" s="11">
        <v>39065</v>
      </c>
      <c r="C24" s="11">
        <v>39600</v>
      </c>
      <c r="D24" s="25">
        <f t="shared" si="0"/>
        <v>535</v>
      </c>
    </row>
    <row r="25" spans="1:4" x14ac:dyDescent="0.25">
      <c r="A25" s="10">
        <v>20</v>
      </c>
      <c r="B25" s="11">
        <v>40407</v>
      </c>
      <c r="C25" s="11">
        <v>39600</v>
      </c>
      <c r="D25" s="25">
        <f t="shared" si="0"/>
        <v>-807</v>
      </c>
    </row>
    <row r="26" spans="1:4" x14ac:dyDescent="0.25">
      <c r="A26" s="10">
        <v>21</v>
      </c>
      <c r="B26" s="11">
        <v>42092</v>
      </c>
      <c r="C26" s="11">
        <v>36760</v>
      </c>
      <c r="D26" s="25">
        <f t="shared" si="0"/>
        <v>-5332</v>
      </c>
    </row>
    <row r="27" spans="1:4" x14ac:dyDescent="0.25">
      <c r="A27" s="10">
        <v>22</v>
      </c>
      <c r="B27" s="11">
        <v>41126</v>
      </c>
      <c r="C27" s="11">
        <v>35000</v>
      </c>
      <c r="D27" s="25">
        <f t="shared" si="0"/>
        <v>-6126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835267</v>
      </c>
      <c r="C37" s="11">
        <f>SUM(C6:C36)</f>
        <v>808472</v>
      </c>
      <c r="D37" s="25">
        <f>SUM(D6:D36)</f>
        <v>-26795</v>
      </c>
    </row>
    <row r="38" spans="1:4" x14ac:dyDescent="0.25">
      <c r="A38" s="26"/>
      <c r="C38" s="14"/>
      <c r="D38" s="345">
        <f>+summary!H5</f>
        <v>2.98</v>
      </c>
    </row>
    <row r="39" spans="1:4" x14ac:dyDescent="0.25">
      <c r="D39" s="138">
        <f>+D38*D37</f>
        <v>-79849.100000000006</v>
      </c>
    </row>
    <row r="40" spans="1:4" x14ac:dyDescent="0.25">
      <c r="A40" s="57">
        <v>37103</v>
      </c>
      <c r="C40" s="15"/>
      <c r="D40" s="359">
        <v>-38120.6</v>
      </c>
    </row>
    <row r="41" spans="1:4" x14ac:dyDescent="0.25">
      <c r="A41" s="57">
        <v>37125</v>
      </c>
      <c r="C41" s="48"/>
      <c r="D41" s="138">
        <f>+D40+D39</f>
        <v>-117969.70000000001</v>
      </c>
    </row>
    <row r="44" spans="1:4" x14ac:dyDescent="0.25">
      <c r="A44" s="32" t="s">
        <v>157</v>
      </c>
      <c r="B44" s="32"/>
      <c r="C44" s="32"/>
      <c r="D44" s="32"/>
    </row>
    <row r="45" spans="1:4" x14ac:dyDescent="0.25">
      <c r="A45" s="49">
        <f>+A40</f>
        <v>37103</v>
      </c>
      <c r="B45" s="32"/>
      <c r="C45" s="32"/>
      <c r="D45" s="212">
        <v>-2104</v>
      </c>
    </row>
    <row r="46" spans="1:4" x14ac:dyDescent="0.25">
      <c r="A46" s="49">
        <f>+A41</f>
        <v>37125</v>
      </c>
      <c r="B46" s="32"/>
      <c r="C46" s="32"/>
      <c r="D46" s="379">
        <f>+D37</f>
        <v>-26795</v>
      </c>
    </row>
    <row r="47" spans="1:4" x14ac:dyDescent="0.25">
      <c r="A47" s="32"/>
      <c r="B47" s="32"/>
      <c r="C47" s="32"/>
      <c r="D47" s="14">
        <f>+D46+D45</f>
        <v>-28899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1" workbookViewId="3">
      <selection activeCell="E26" sqref="E26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  <col min="14" max="14" width="9.88671875" bestFit="1" customWidth="1"/>
    <col min="15" max="15" width="12" bestFit="1" customWidth="1"/>
    <col min="16" max="16" width="10.6640625" style="267" bestFit="1" customWidth="1"/>
    <col min="17" max="17" width="8" style="465" bestFit="1" customWidth="1"/>
    <col min="18" max="18" width="11.44140625" style="267" bestFit="1" customWidth="1"/>
  </cols>
  <sheetData>
    <row r="1" spans="1:35" x14ac:dyDescent="0.25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0"/>
      <c r="R2" s="15"/>
      <c r="S2" s="32"/>
      <c r="T2" s="32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4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M4" s="464" t="s">
        <v>40</v>
      </c>
      <c r="N4" s="4" t="s">
        <v>20</v>
      </c>
      <c r="O4" s="4" t="s">
        <v>21</v>
      </c>
      <c r="P4" s="462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M5" s="464"/>
      <c r="N5" s="14"/>
      <c r="O5" s="14"/>
      <c r="P5" s="14">
        <f t="shared" ref="P5:P13" si="1">+O5-N5</f>
        <v>0</v>
      </c>
      <c r="Q5" s="390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M6" s="464">
        <v>36861</v>
      </c>
      <c r="N6" s="24">
        <v>19698194</v>
      </c>
      <c r="O6" s="24">
        <v>19662410</v>
      </c>
      <c r="P6" s="14">
        <f t="shared" si="1"/>
        <v>-35784</v>
      </c>
      <c r="Q6" s="390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M7" s="464">
        <v>36892</v>
      </c>
      <c r="N7" s="24">
        <v>18949781</v>
      </c>
      <c r="O7" s="14">
        <v>18975457</v>
      </c>
      <c r="P7" s="14">
        <f t="shared" si="1"/>
        <v>25676</v>
      </c>
      <c r="Q7" s="390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M8" s="464">
        <v>36923</v>
      </c>
      <c r="N8" s="24">
        <v>15193330</v>
      </c>
      <c r="O8" s="14">
        <v>15256233</v>
      </c>
      <c r="P8" s="14">
        <f t="shared" si="1"/>
        <v>62903</v>
      </c>
      <c r="Q8" s="390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M9" s="464">
        <v>36951</v>
      </c>
      <c r="N9" s="24">
        <v>17049350</v>
      </c>
      <c r="O9" s="14">
        <v>17089226</v>
      </c>
      <c r="P9" s="14">
        <f t="shared" si="1"/>
        <v>39876</v>
      </c>
      <c r="Q9" s="390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M10" s="464">
        <v>36982</v>
      </c>
      <c r="N10" s="24">
        <v>17652369</v>
      </c>
      <c r="O10" s="14">
        <v>17743987</v>
      </c>
      <c r="P10" s="14">
        <f t="shared" si="1"/>
        <v>91618</v>
      </c>
      <c r="Q10" s="390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M11" s="464">
        <v>37012</v>
      </c>
      <c r="N11" s="24">
        <v>16124989</v>
      </c>
      <c r="O11" s="14">
        <v>16282021</v>
      </c>
      <c r="P11" s="14">
        <f t="shared" si="1"/>
        <v>157032</v>
      </c>
      <c r="Q11" s="390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M12" s="464">
        <v>37043</v>
      </c>
      <c r="N12" s="24">
        <v>15928675</v>
      </c>
      <c r="O12" s="14">
        <v>15936227</v>
      </c>
      <c r="P12" s="14">
        <f t="shared" si="1"/>
        <v>7552</v>
      </c>
      <c r="Q12" s="390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M13" s="464">
        <v>37073</v>
      </c>
      <c r="N13" s="24">
        <v>16669639</v>
      </c>
      <c r="O13" s="14">
        <v>16693576</v>
      </c>
      <c r="P13" s="14">
        <f t="shared" si="1"/>
        <v>23937</v>
      </c>
      <c r="Q13" s="390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343074</v>
      </c>
      <c r="C15" s="11">
        <v>331485</v>
      </c>
      <c r="D15" s="11">
        <v>41056</v>
      </c>
      <c r="E15" s="11">
        <v>62006</v>
      </c>
      <c r="F15" s="11">
        <v>63625</v>
      </c>
      <c r="G15" s="11">
        <v>61306</v>
      </c>
      <c r="H15" s="11">
        <v>145898</v>
      </c>
      <c r="I15" s="11">
        <v>141767</v>
      </c>
      <c r="J15" s="11">
        <f t="shared" si="0"/>
        <v>2911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329776</v>
      </c>
      <c r="C16" s="11">
        <v>327012</v>
      </c>
      <c r="D16" s="11">
        <v>46642</v>
      </c>
      <c r="E16" s="11">
        <v>59179</v>
      </c>
      <c r="F16" s="11">
        <v>62952</v>
      </c>
      <c r="G16" s="11">
        <v>61308</v>
      </c>
      <c r="H16" s="11">
        <v>138478</v>
      </c>
      <c r="I16" s="11">
        <v>126232</v>
      </c>
      <c r="J16" s="11">
        <f t="shared" si="0"/>
        <v>-4117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326625</v>
      </c>
      <c r="C17" s="11">
        <v>336221</v>
      </c>
      <c r="D17" s="11">
        <v>37103</v>
      </c>
      <c r="E17" s="11">
        <v>26877</v>
      </c>
      <c r="F17" s="11">
        <v>56806</v>
      </c>
      <c r="G17" s="11">
        <v>58064</v>
      </c>
      <c r="H17" s="11">
        <v>133830</v>
      </c>
      <c r="I17" s="11">
        <v>131396</v>
      </c>
      <c r="J17" s="11">
        <f t="shared" si="0"/>
        <v>-1806</v>
      </c>
      <c r="M17" s="464"/>
      <c r="N17" s="24"/>
      <c r="O17" s="14"/>
      <c r="P17" s="14">
        <f>+O17-N17</f>
        <v>0</v>
      </c>
      <c r="Q17" s="390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336681</v>
      </c>
      <c r="C18" s="11">
        <v>332244</v>
      </c>
      <c r="D18" s="11">
        <v>61849</v>
      </c>
      <c r="E18" s="11">
        <v>62006</v>
      </c>
      <c r="F18" s="11">
        <v>56541</v>
      </c>
      <c r="G18" s="11">
        <v>57130</v>
      </c>
      <c r="H18" s="11">
        <v>149355</v>
      </c>
      <c r="I18" s="11">
        <v>149369</v>
      </c>
      <c r="J18" s="11">
        <f t="shared" si="0"/>
        <v>-3677</v>
      </c>
      <c r="M18" s="464"/>
      <c r="N18" s="24"/>
      <c r="O18" s="14"/>
      <c r="P18" s="14"/>
      <c r="Q18" s="390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330403</v>
      </c>
      <c r="C19" s="11">
        <v>330339</v>
      </c>
      <c r="D19" s="11">
        <v>63183</v>
      </c>
      <c r="E19" s="11">
        <v>62006</v>
      </c>
      <c r="F19" s="11">
        <v>56691</v>
      </c>
      <c r="G19" s="11">
        <v>58312</v>
      </c>
      <c r="H19" s="11">
        <v>153223</v>
      </c>
      <c r="I19" s="11">
        <v>151210</v>
      </c>
      <c r="J19" s="11">
        <f t="shared" si="0"/>
        <v>-1633</v>
      </c>
      <c r="M19" s="464"/>
      <c r="N19" s="14"/>
      <c r="O19" s="14"/>
      <c r="P19" s="14"/>
      <c r="Q19" s="390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334818</v>
      </c>
      <c r="C20" s="11">
        <v>346212</v>
      </c>
      <c r="D20" s="11">
        <v>81572</v>
      </c>
      <c r="E20" s="11">
        <v>62006</v>
      </c>
      <c r="F20" s="11">
        <v>63376</v>
      </c>
      <c r="G20" s="11">
        <v>65126</v>
      </c>
      <c r="H20" s="11">
        <v>135420</v>
      </c>
      <c r="I20" s="11">
        <v>142145</v>
      </c>
      <c r="J20" s="11">
        <f t="shared" si="0"/>
        <v>303</v>
      </c>
      <c r="M20" s="464"/>
      <c r="N20" s="14"/>
      <c r="O20" s="14"/>
      <c r="P20" s="15"/>
      <c r="Q20" s="390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366455</v>
      </c>
      <c r="C21" s="11">
        <v>357416</v>
      </c>
      <c r="D21" s="11">
        <v>64878</v>
      </c>
      <c r="E21" s="11">
        <v>62006</v>
      </c>
      <c r="F21" s="11">
        <v>59007</v>
      </c>
      <c r="G21" s="11">
        <v>58705</v>
      </c>
      <c r="H21" s="11">
        <v>125144</v>
      </c>
      <c r="I21" s="11">
        <v>131878</v>
      </c>
      <c r="J21" s="11">
        <f t="shared" si="0"/>
        <v>-5479</v>
      </c>
      <c r="M21" s="464"/>
      <c r="N21" s="24"/>
      <c r="O21" s="24"/>
      <c r="P21" s="110"/>
      <c r="Q21" s="466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297258</v>
      </c>
      <c r="C22" s="11">
        <v>320201</v>
      </c>
      <c r="D22" s="11">
        <v>63849</v>
      </c>
      <c r="E22" s="11">
        <v>62006</v>
      </c>
      <c r="F22" s="11">
        <v>57721</v>
      </c>
      <c r="G22" s="11">
        <v>60383</v>
      </c>
      <c r="H22" s="11">
        <v>126422</v>
      </c>
      <c r="I22" s="11">
        <v>129766</v>
      </c>
      <c r="J22" s="11">
        <f t="shared" si="0"/>
        <v>27106</v>
      </c>
      <c r="M22" s="32"/>
      <c r="N22" s="24"/>
      <c r="O22" s="24"/>
      <c r="P22" s="24">
        <f>SUM(P5:P21)</f>
        <v>372810</v>
      </c>
      <c r="Q22" s="466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5">
      <c r="A23" s="10">
        <v>20</v>
      </c>
      <c r="B23" s="11">
        <v>322632</v>
      </c>
      <c r="C23" s="11">
        <v>322211</v>
      </c>
      <c r="D23" s="11">
        <v>62973</v>
      </c>
      <c r="E23" s="11">
        <v>62006</v>
      </c>
      <c r="F23" s="11">
        <v>57755</v>
      </c>
      <c r="G23" s="11">
        <v>56963</v>
      </c>
      <c r="H23" s="11">
        <v>119641</v>
      </c>
      <c r="I23" s="11">
        <v>119045</v>
      </c>
      <c r="J23" s="11">
        <f t="shared" si="0"/>
        <v>-2776</v>
      </c>
      <c r="M23" s="32"/>
      <c r="N23" s="24"/>
      <c r="O23" s="24"/>
      <c r="P23" s="110"/>
      <c r="Q23" s="466"/>
      <c r="R23" s="110"/>
      <c r="S23" s="21"/>
      <c r="T23" s="104"/>
      <c r="U23" s="16"/>
      <c r="V23" s="15"/>
      <c r="W23" s="13"/>
    </row>
    <row r="24" spans="1:35" x14ac:dyDescent="0.25">
      <c r="A24" s="10">
        <v>21</v>
      </c>
      <c r="B24" s="11">
        <v>338791</v>
      </c>
      <c r="C24" s="11">
        <v>340947</v>
      </c>
      <c r="D24" s="11">
        <v>64404</v>
      </c>
      <c r="E24" s="11">
        <v>60467</v>
      </c>
      <c r="F24" s="11">
        <v>52773</v>
      </c>
      <c r="G24" s="11">
        <v>50154</v>
      </c>
      <c r="H24" s="11">
        <v>128561</v>
      </c>
      <c r="I24" s="11">
        <v>132981</v>
      </c>
      <c r="J24" s="11">
        <f t="shared" si="0"/>
        <v>20</v>
      </c>
      <c r="M24" s="32"/>
      <c r="N24" s="24"/>
      <c r="O24" s="24"/>
      <c r="P24" s="110"/>
      <c r="Q24" s="466"/>
      <c r="R24" s="110"/>
      <c r="S24" s="21"/>
      <c r="T24" s="104"/>
      <c r="U24" s="16"/>
      <c r="V24" s="15"/>
      <c r="W24" s="13"/>
    </row>
    <row r="25" spans="1:35" x14ac:dyDescent="0.25">
      <c r="A25" s="10">
        <v>22</v>
      </c>
      <c r="B25" s="11">
        <v>322113</v>
      </c>
      <c r="C25" s="11">
        <v>321612</v>
      </c>
      <c r="D25" s="11">
        <v>62032</v>
      </c>
      <c r="E25" s="11">
        <v>62005</v>
      </c>
      <c r="F25" s="11">
        <v>59462</v>
      </c>
      <c r="G25" s="11">
        <v>53971</v>
      </c>
      <c r="H25" s="11">
        <v>124463</v>
      </c>
      <c r="I25" s="11">
        <v>122727</v>
      </c>
      <c r="J25" s="11">
        <f t="shared" si="0"/>
        <v>-7755</v>
      </c>
      <c r="M25" s="32"/>
      <c r="N25" s="24"/>
      <c r="O25" s="24"/>
      <c r="P25" s="110"/>
      <c r="Q25" s="466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>
        <v>317311</v>
      </c>
      <c r="C26" s="11">
        <v>313150</v>
      </c>
      <c r="D26" s="11">
        <v>62012</v>
      </c>
      <c r="E26" s="11">
        <v>60837</v>
      </c>
      <c r="F26" s="11">
        <v>54209</v>
      </c>
      <c r="G26" s="11">
        <v>52721</v>
      </c>
      <c r="H26" s="11">
        <v>140828</v>
      </c>
      <c r="I26" s="11">
        <v>137994</v>
      </c>
      <c r="J26" s="11">
        <f t="shared" si="0"/>
        <v>-9658</v>
      </c>
      <c r="M26" s="32"/>
      <c r="N26" s="24"/>
      <c r="O26" s="24"/>
      <c r="P26" s="110"/>
      <c r="Q26" s="466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66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66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66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66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6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0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0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0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7597995</v>
      </c>
      <c r="C35" s="11">
        <f t="shared" ref="C35:I35" si="3">SUM(C4:C34)</f>
        <v>7728218</v>
      </c>
      <c r="D35" s="11">
        <f t="shared" si="3"/>
        <v>1462697</v>
      </c>
      <c r="E35" s="11">
        <f t="shared" si="3"/>
        <v>1368801</v>
      </c>
      <c r="F35" s="11">
        <f t="shared" si="3"/>
        <v>1393139</v>
      </c>
      <c r="G35" s="11">
        <f t="shared" si="3"/>
        <v>1373719</v>
      </c>
      <c r="H35" s="11">
        <f t="shared" si="3"/>
        <v>3058522</v>
      </c>
      <c r="I35" s="11">
        <f t="shared" si="3"/>
        <v>3025182</v>
      </c>
      <c r="J35" s="11">
        <f>SUM(J4:J34)</f>
        <v>-16433</v>
      </c>
      <c r="M35" s="32"/>
      <c r="N35" s="24"/>
      <c r="O35" s="32"/>
      <c r="P35" s="15"/>
      <c r="Q35" s="390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90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90"/>
      <c r="R37" s="110"/>
      <c r="S37" s="19"/>
      <c r="T37" s="104"/>
      <c r="U37" s="16"/>
      <c r="V37" s="15"/>
      <c r="W37" s="13"/>
    </row>
    <row r="38" spans="1:23" x14ac:dyDescent="0.25">
      <c r="A38" s="56">
        <v>37103</v>
      </c>
      <c r="C38" s="25"/>
      <c r="E38" s="25"/>
      <c r="G38" s="25"/>
      <c r="I38" s="25"/>
      <c r="J38" s="442">
        <v>310268</v>
      </c>
      <c r="M38" s="32"/>
      <c r="N38" s="24"/>
      <c r="O38" s="32"/>
      <c r="P38" s="15"/>
      <c r="Q38" s="390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90"/>
      <c r="R39" s="110"/>
      <c r="S39" s="19"/>
      <c r="T39" s="104"/>
      <c r="U39" s="16"/>
      <c r="V39" s="15"/>
      <c r="W39" s="13"/>
    </row>
    <row r="40" spans="1:23" x14ac:dyDescent="0.25">
      <c r="A40" s="33">
        <v>37126</v>
      </c>
      <c r="J40" s="51">
        <f>+J38+J35</f>
        <v>293835</v>
      </c>
      <c r="M40" s="32"/>
      <c r="N40" s="24"/>
      <c r="O40" s="32"/>
      <c r="P40" s="15"/>
      <c r="Q40" s="390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90"/>
      <c r="R41" s="110"/>
      <c r="S41" s="19"/>
      <c r="T41" s="104"/>
      <c r="U41" s="16"/>
      <c r="V41" s="15"/>
      <c r="W41" s="13"/>
    </row>
    <row r="42" spans="1:23" x14ac:dyDescent="0.25">
      <c r="M42" s="32"/>
      <c r="N42" s="24"/>
      <c r="O42" s="32"/>
      <c r="P42" s="15"/>
      <c r="Q42" s="390"/>
      <c r="R42" s="110"/>
      <c r="S42" s="19"/>
      <c r="T42" s="104"/>
      <c r="U42" s="16"/>
      <c r="V42" s="15"/>
      <c r="W42" s="13"/>
    </row>
    <row r="43" spans="1:23" x14ac:dyDescent="0.25">
      <c r="M43" s="32"/>
      <c r="N43" s="24"/>
      <c r="O43" s="32"/>
      <c r="P43" s="15"/>
      <c r="Q43" s="390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01"/>
      <c r="N44" s="24"/>
      <c r="O44" s="32"/>
      <c r="P44" s="15"/>
      <c r="Q44" s="390"/>
      <c r="R44" s="110"/>
      <c r="S44" s="19"/>
      <c r="T44" s="104"/>
      <c r="U44" s="16"/>
      <c r="V44" s="15"/>
      <c r="W44" s="13"/>
    </row>
    <row r="45" spans="1:23" x14ac:dyDescent="0.25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0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37103</v>
      </c>
      <c r="B46" s="32"/>
      <c r="C46" s="32"/>
      <c r="D46" s="443">
        <v>1379269.57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0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37126</v>
      </c>
      <c r="B47" s="32"/>
      <c r="C47" s="32"/>
      <c r="D47" s="408">
        <f>+J35*'by type'!J3</f>
        <v>-44204.77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0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1335064.8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0"/>
      <c r="R48" s="15"/>
      <c r="S48" s="19"/>
      <c r="T48" s="32"/>
    </row>
    <row r="49" spans="1:20" x14ac:dyDescent="0.25">
      <c r="A49" s="139"/>
      <c r="B49" s="119"/>
      <c r="C49" s="140"/>
      <c r="D49" s="409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0"/>
      <c r="R49" s="15"/>
      <c r="S49" s="32"/>
      <c r="T49" s="32"/>
    </row>
    <row r="50" spans="1:20" x14ac:dyDescent="0.25">
      <c r="A50" s="10"/>
      <c r="B50" s="11"/>
      <c r="C50" s="11"/>
      <c r="D50" s="410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0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0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0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0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0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0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0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0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0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0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0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0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0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0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0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0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0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0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6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6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6"/>
      <c r="R70" s="110"/>
      <c r="S70" s="19"/>
      <c r="T70" s="138"/>
    </row>
    <row r="71" spans="1:20" x14ac:dyDescent="0.25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6"/>
      <c r="R71" s="110"/>
      <c r="S71" s="19"/>
      <c r="T71" s="138"/>
    </row>
    <row r="72" spans="1:20" x14ac:dyDescent="0.25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6"/>
      <c r="R72" s="110"/>
      <c r="S72" s="19"/>
      <c r="T72" s="138"/>
    </row>
    <row r="73" spans="1:20" x14ac:dyDescent="0.25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6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6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6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6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6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6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6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6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6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66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66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66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66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66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66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66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6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0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0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0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0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0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0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0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0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0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0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0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0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0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0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0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0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0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0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0"/>
      <c r="R109" s="15"/>
      <c r="S109" s="32"/>
      <c r="T109" s="32"/>
    </row>
    <row r="110" spans="1:2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67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62"/>
      <c r="Q255" s="143"/>
      <c r="R255" s="462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3"/>
      <c r="Q256" s="468"/>
      <c r="R256" s="463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6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6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6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6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6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6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6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6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6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6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6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6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6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6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6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6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6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6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6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6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6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6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6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6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6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6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6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6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6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6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6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6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67"/>
      <c r="S295" s="1"/>
    </row>
    <row r="296" spans="9:21" x14ac:dyDescent="0.25">
      <c r="K296" s="2"/>
      <c r="M296" s="30"/>
      <c r="N296" s="4"/>
      <c r="O296" s="4"/>
      <c r="P296" s="462"/>
      <c r="Q296" s="143"/>
      <c r="R296" s="462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63"/>
      <c r="Q297" s="468"/>
      <c r="R297" s="463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66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66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66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66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66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66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66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66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66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66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66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66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66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66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66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66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66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66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66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66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66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66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66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66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66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66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66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66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66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66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66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66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67"/>
      <c r="S337" s="1"/>
    </row>
    <row r="338" spans="11:21" x14ac:dyDescent="0.25">
      <c r="K338" s="2"/>
      <c r="M338" s="30"/>
      <c r="N338" s="4"/>
      <c r="O338" s="4"/>
      <c r="P338" s="462"/>
      <c r="Q338" s="143"/>
      <c r="R338" s="462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63"/>
      <c r="Q339" s="468"/>
      <c r="R339" s="463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66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66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66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66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66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66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66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66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66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66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66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66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66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66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66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66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66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66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66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66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66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66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66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66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66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66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66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66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66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66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66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66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67"/>
      <c r="S379" s="1"/>
    </row>
    <row r="380" spans="11:21" x14ac:dyDescent="0.25">
      <c r="K380" s="2"/>
      <c r="M380" s="30"/>
      <c r="N380" s="4"/>
      <c r="O380" s="4"/>
      <c r="P380" s="462"/>
      <c r="Q380" s="143"/>
      <c r="R380" s="462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63"/>
      <c r="Q381" s="468"/>
      <c r="R381" s="463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66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66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66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66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66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66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66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66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66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66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66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66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66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66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66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66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66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66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66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66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66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66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66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66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66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66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66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66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66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66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66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66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67"/>
      <c r="S423" s="1"/>
    </row>
    <row r="424" spans="11:21" x14ac:dyDescent="0.25">
      <c r="K424" s="2"/>
      <c r="M424" s="30"/>
      <c r="N424" s="4"/>
      <c r="O424" s="4"/>
      <c r="P424" s="462"/>
      <c r="Q424" s="143"/>
      <c r="R424" s="462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63"/>
      <c r="Q425" s="468"/>
      <c r="R425" s="463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66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66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66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66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66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66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66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66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66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66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66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66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66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66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66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66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66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66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66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66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66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66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66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66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66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66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66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66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66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66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66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66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67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62"/>
      <c r="Q466" s="143"/>
      <c r="R466" s="46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63"/>
      <c r="Q467" s="468"/>
      <c r="R467" s="46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6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6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6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6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6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6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6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6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6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6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6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6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6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6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6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6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6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6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6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6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6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6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6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6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6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6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6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6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6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6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6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6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7" workbookViewId="3">
      <selection activeCell="G31" sqref="G31"/>
    </sheetView>
  </sheetViews>
  <sheetFormatPr defaultRowHeight="13.2" x14ac:dyDescent="0.25"/>
  <sheetData>
    <row r="3" spans="1:4" ht="13.8" x14ac:dyDescent="0.25">
      <c r="A3" s="134"/>
      <c r="B3" s="34" t="s">
        <v>136</v>
      </c>
    </row>
    <row r="4" spans="1:4" x14ac:dyDescent="0.25">
      <c r="A4" s="3"/>
      <c r="B4" s="59" t="s">
        <v>137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5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5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5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5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5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5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5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5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5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5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5">
      <c r="A17" s="10">
        <v>12</v>
      </c>
      <c r="B17" s="11">
        <v>64945</v>
      </c>
      <c r="C17" s="11">
        <v>63665</v>
      </c>
      <c r="D17" s="25">
        <f t="shared" si="0"/>
        <v>-1280</v>
      </c>
    </row>
    <row r="18" spans="1:4" x14ac:dyDescent="0.25">
      <c r="A18" s="10">
        <v>13</v>
      </c>
      <c r="B18" s="11">
        <v>64939</v>
      </c>
      <c r="C18" s="11">
        <v>64464</v>
      </c>
      <c r="D18" s="25">
        <f t="shared" si="0"/>
        <v>-475</v>
      </c>
    </row>
    <row r="19" spans="1:4" x14ac:dyDescent="0.25">
      <c r="A19" s="10">
        <v>14</v>
      </c>
      <c r="B19" s="11">
        <v>63062</v>
      </c>
      <c r="C19" s="11">
        <v>63411</v>
      </c>
      <c r="D19" s="25">
        <f t="shared" si="0"/>
        <v>349</v>
      </c>
    </row>
    <row r="20" spans="1:4" x14ac:dyDescent="0.25">
      <c r="A20" s="10">
        <v>15</v>
      </c>
      <c r="B20" s="11">
        <v>56053</v>
      </c>
      <c r="C20" s="11">
        <v>59448</v>
      </c>
      <c r="D20" s="25">
        <f t="shared" si="0"/>
        <v>3395</v>
      </c>
    </row>
    <row r="21" spans="1:4" x14ac:dyDescent="0.25">
      <c r="A21" s="10">
        <v>16</v>
      </c>
      <c r="B21" s="11">
        <v>62374</v>
      </c>
      <c r="C21" s="11">
        <v>63447</v>
      </c>
      <c r="D21" s="25">
        <f t="shared" si="0"/>
        <v>1073</v>
      </c>
    </row>
    <row r="22" spans="1:4" x14ac:dyDescent="0.25">
      <c r="A22" s="10">
        <v>17</v>
      </c>
      <c r="B22" s="11">
        <v>61677</v>
      </c>
      <c r="C22" s="11">
        <v>61277</v>
      </c>
      <c r="D22" s="25">
        <f t="shared" si="0"/>
        <v>-400</v>
      </c>
    </row>
    <row r="23" spans="1:4" x14ac:dyDescent="0.25">
      <c r="A23" s="10">
        <v>18</v>
      </c>
      <c r="B23" s="11">
        <v>60811</v>
      </c>
      <c r="C23" s="11">
        <v>60711</v>
      </c>
      <c r="D23" s="25">
        <f t="shared" si="0"/>
        <v>-100</v>
      </c>
    </row>
    <row r="24" spans="1:4" x14ac:dyDescent="0.25">
      <c r="A24" s="10">
        <v>19</v>
      </c>
      <c r="B24" s="11">
        <v>60896</v>
      </c>
      <c r="C24" s="11">
        <v>60711</v>
      </c>
      <c r="D24" s="25">
        <f t="shared" si="0"/>
        <v>-185</v>
      </c>
    </row>
    <row r="25" spans="1:4" x14ac:dyDescent="0.25">
      <c r="A25" s="10">
        <v>20</v>
      </c>
      <c r="B25" s="11">
        <v>60946</v>
      </c>
      <c r="C25" s="11">
        <v>60636</v>
      </c>
      <c r="D25" s="25">
        <f t="shared" si="0"/>
        <v>-310</v>
      </c>
    </row>
    <row r="26" spans="1:4" x14ac:dyDescent="0.25">
      <c r="A26" s="10">
        <v>21</v>
      </c>
      <c r="B26" s="11">
        <v>61474</v>
      </c>
      <c r="C26" s="11">
        <v>63821</v>
      </c>
      <c r="D26" s="25">
        <f t="shared" si="0"/>
        <v>2347</v>
      </c>
    </row>
    <row r="27" spans="1:4" x14ac:dyDescent="0.25">
      <c r="A27" s="10">
        <v>22</v>
      </c>
      <c r="B27" s="11">
        <v>48657</v>
      </c>
      <c r="C27" s="11">
        <v>48609</v>
      </c>
      <c r="D27" s="25">
        <f t="shared" si="0"/>
        <v>-48</v>
      </c>
    </row>
    <row r="28" spans="1:4" x14ac:dyDescent="0.25">
      <c r="A28" s="10">
        <v>23</v>
      </c>
      <c r="B28" s="11">
        <v>59613</v>
      </c>
      <c r="C28" s="11">
        <v>60860</v>
      </c>
      <c r="D28" s="25">
        <f t="shared" si="0"/>
        <v>1247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1401540</v>
      </c>
      <c r="C37" s="11">
        <f>SUM(C6:C36)</f>
        <v>1402622</v>
      </c>
      <c r="D37" s="25">
        <f>SUM(D6:D36)</f>
        <v>1082</v>
      </c>
    </row>
    <row r="38" spans="1:4" x14ac:dyDescent="0.25">
      <c r="A38" s="26"/>
      <c r="C38" s="14"/>
      <c r="D38" s="345">
        <f>+summary!H5</f>
        <v>2.98</v>
      </c>
    </row>
    <row r="39" spans="1:4" x14ac:dyDescent="0.25">
      <c r="D39" s="138">
        <f>+D38*D37</f>
        <v>3224.36</v>
      </c>
    </row>
    <row r="40" spans="1:4" x14ac:dyDescent="0.25">
      <c r="A40" s="57">
        <v>37103</v>
      </c>
      <c r="C40" s="15"/>
      <c r="D40" s="368">
        <v>0</v>
      </c>
    </row>
    <row r="41" spans="1:4" x14ac:dyDescent="0.25">
      <c r="A41" s="57">
        <v>37126</v>
      </c>
      <c r="C41" s="48"/>
      <c r="D41" s="138">
        <f>+D40+D39</f>
        <v>3224.36</v>
      </c>
    </row>
    <row r="45" spans="1:4" x14ac:dyDescent="0.25">
      <c r="A45" s="32" t="s">
        <v>157</v>
      </c>
      <c r="B45" s="32"/>
      <c r="C45" s="32"/>
      <c r="D45" s="32"/>
    </row>
    <row r="46" spans="1:4" x14ac:dyDescent="0.25">
      <c r="A46" s="49">
        <f>+A40</f>
        <v>37103</v>
      </c>
      <c r="B46" s="32"/>
      <c r="C46" s="32"/>
      <c r="D46" s="212">
        <v>53363</v>
      </c>
    </row>
    <row r="47" spans="1:4" x14ac:dyDescent="0.25">
      <c r="A47" s="49">
        <f>+A41</f>
        <v>37126</v>
      </c>
      <c r="B47" s="32"/>
      <c r="C47" s="32"/>
      <c r="D47" s="379">
        <f>+D37</f>
        <v>1082</v>
      </c>
    </row>
    <row r="48" spans="1:4" x14ac:dyDescent="0.25">
      <c r="A48" s="32"/>
      <c r="B48" s="32"/>
      <c r="C48" s="32"/>
      <c r="D48" s="14">
        <f>+D47+D46</f>
        <v>54445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workbookViewId="3">
      <selection activeCell="A42" sqref="A42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138</v>
      </c>
      <c r="C3" s="87"/>
      <c r="D3" s="87"/>
      <c r="E3" s="87"/>
    </row>
    <row r="4" spans="1:13" x14ac:dyDescent="0.25">
      <c r="A4" s="3"/>
      <c r="B4" s="347" t="s">
        <v>139</v>
      </c>
      <c r="C4" s="87"/>
      <c r="D4" s="3"/>
      <c r="E4" s="87"/>
    </row>
    <row r="5" spans="1:13" x14ac:dyDescent="0.25">
      <c r="A5" s="5" t="s">
        <v>11</v>
      </c>
      <c r="B5" s="6" t="s">
        <v>20</v>
      </c>
      <c r="C5" s="6" t="s">
        <v>21</v>
      </c>
    </row>
    <row r="6" spans="1:13" x14ac:dyDescent="0.25">
      <c r="A6" s="10">
        <v>1</v>
      </c>
      <c r="B6" s="11">
        <v>-2001</v>
      </c>
      <c r="C6" s="11">
        <v>-2139</v>
      </c>
      <c r="D6" s="25">
        <f>+C6-B6</f>
        <v>-138</v>
      </c>
    </row>
    <row r="7" spans="1:13" x14ac:dyDescent="0.25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13" x14ac:dyDescent="0.25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13" x14ac:dyDescent="0.25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13" x14ac:dyDescent="0.25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13" x14ac:dyDescent="0.25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13" x14ac:dyDescent="0.25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13" x14ac:dyDescent="0.25">
      <c r="A13" s="10">
        <v>8</v>
      </c>
      <c r="B13" s="11">
        <v>-1968</v>
      </c>
      <c r="C13" s="11">
        <v>-2139</v>
      </c>
      <c r="D13" s="25">
        <f t="shared" si="0"/>
        <v>-171</v>
      </c>
      <c r="H13" s="118"/>
      <c r="I13" s="34"/>
      <c r="J13" s="34"/>
      <c r="K13" s="189"/>
      <c r="L13" s="470" t="s">
        <v>197</v>
      </c>
      <c r="M13" s="189"/>
    </row>
    <row r="14" spans="1:13" x14ac:dyDescent="0.25">
      <c r="A14" s="10">
        <v>9</v>
      </c>
      <c r="B14" s="11">
        <v>-76</v>
      </c>
      <c r="C14" s="11">
        <v>-711</v>
      </c>
      <c r="D14" s="25">
        <f t="shared" si="0"/>
        <v>-635</v>
      </c>
      <c r="H14" s="118" t="s">
        <v>40</v>
      </c>
      <c r="I14" s="471" t="s">
        <v>20</v>
      </c>
      <c r="J14" s="471" t="s">
        <v>21</v>
      </c>
      <c r="K14" s="472" t="s">
        <v>51</v>
      </c>
      <c r="L14" s="470" t="s">
        <v>16</v>
      </c>
      <c r="M14" s="189" t="s">
        <v>28</v>
      </c>
    </row>
    <row r="15" spans="1:13" x14ac:dyDescent="0.25">
      <c r="A15" s="10">
        <v>10</v>
      </c>
      <c r="B15" s="11">
        <v>-800</v>
      </c>
      <c r="C15" s="11">
        <v>-2139</v>
      </c>
      <c r="D15" s="25">
        <f t="shared" si="0"/>
        <v>-1339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-1249</v>
      </c>
      <c r="C16" s="11">
        <v>-2139</v>
      </c>
      <c r="D16" s="25">
        <f t="shared" si="0"/>
        <v>-890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70">
        <v>8.2100000000000009</v>
      </c>
      <c r="M16" s="475">
        <f t="shared" ref="M16:M22" si="2">+L16*K16</f>
        <v>-148748.78000000003</v>
      </c>
    </row>
    <row r="17" spans="1:15" x14ac:dyDescent="0.25">
      <c r="A17" s="10">
        <v>12</v>
      </c>
      <c r="B17" s="11">
        <v>-1989</v>
      </c>
      <c r="C17" s="11">
        <v>-2139</v>
      </c>
      <c r="D17" s="25">
        <f t="shared" si="0"/>
        <v>-150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70">
        <v>5.62</v>
      </c>
      <c r="M17" s="475">
        <f t="shared" si="2"/>
        <v>-91100.2</v>
      </c>
    </row>
    <row r="18" spans="1:15" x14ac:dyDescent="0.25">
      <c r="A18" s="10">
        <v>13</v>
      </c>
      <c r="B18" s="11">
        <v>-1956</v>
      </c>
      <c r="C18" s="11">
        <v>-2139</v>
      </c>
      <c r="D18" s="25">
        <f t="shared" si="0"/>
        <v>-183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70">
        <v>4.9800000000000004</v>
      </c>
      <c r="M18" s="475">
        <f t="shared" si="2"/>
        <v>-118748.1</v>
      </c>
    </row>
    <row r="19" spans="1:15" x14ac:dyDescent="0.25">
      <c r="A19" s="10">
        <v>14</v>
      </c>
      <c r="B19" s="11">
        <v>-1952</v>
      </c>
      <c r="C19" s="11">
        <v>-2139</v>
      </c>
      <c r="D19" s="25">
        <f t="shared" si="0"/>
        <v>-187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70">
        <v>4.87</v>
      </c>
      <c r="M19" s="475">
        <f t="shared" si="2"/>
        <v>63012.93</v>
      </c>
      <c r="O19" s="267"/>
    </row>
    <row r="20" spans="1:15" x14ac:dyDescent="0.25">
      <c r="A20" s="10">
        <v>15</v>
      </c>
      <c r="B20" s="11">
        <v>-1924</v>
      </c>
      <c r="C20" s="11">
        <v>-2139</v>
      </c>
      <c r="D20" s="25">
        <f t="shared" si="0"/>
        <v>-215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70">
        <v>3.82</v>
      </c>
      <c r="M20" s="475">
        <f t="shared" si="2"/>
        <v>32531.119999999999</v>
      </c>
    </row>
    <row r="21" spans="1:15" x14ac:dyDescent="0.25">
      <c r="A21" s="10">
        <v>16</v>
      </c>
      <c r="B21" s="11">
        <v>-530</v>
      </c>
      <c r="C21" s="11">
        <v>-2250</v>
      </c>
      <c r="D21" s="25">
        <f t="shared" si="0"/>
        <v>-1720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70">
        <v>3.2</v>
      </c>
      <c r="M21" s="475">
        <f t="shared" si="2"/>
        <v>-47644.800000000003</v>
      </c>
    </row>
    <row r="22" spans="1:15" x14ac:dyDescent="0.25">
      <c r="A22" s="10">
        <v>17</v>
      </c>
      <c r="B22" s="11">
        <v>-528</v>
      </c>
      <c r="C22" s="11">
        <v>-2139</v>
      </c>
      <c r="D22" s="25">
        <f t="shared" si="0"/>
        <v>-1611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70">
        <v>2.77</v>
      </c>
      <c r="M22" s="476">
        <f t="shared" si="2"/>
        <v>-43139.98</v>
      </c>
    </row>
    <row r="23" spans="1:15" ht="13.8" thickBot="1" x14ac:dyDescent="0.3">
      <c r="A23" s="10">
        <v>18</v>
      </c>
      <c r="B23" s="11">
        <v>-1187</v>
      </c>
      <c r="C23" s="11">
        <v>-2139</v>
      </c>
      <c r="D23" s="25">
        <f t="shared" si="0"/>
        <v>-952</v>
      </c>
      <c r="H23" s="34"/>
      <c r="I23" s="119"/>
      <c r="J23" s="119"/>
      <c r="K23" s="119"/>
      <c r="L23" s="473"/>
      <c r="M23" s="474">
        <f>SUM(M16:M22)</f>
        <v>-353837.81000000006</v>
      </c>
      <c r="O23" s="267"/>
    </row>
    <row r="24" spans="1:15" ht="13.8" thickTop="1" x14ac:dyDescent="0.25">
      <c r="A24" s="10">
        <v>19</v>
      </c>
      <c r="B24" s="11">
        <v>-1956</v>
      </c>
      <c r="C24" s="11">
        <v>-1979</v>
      </c>
      <c r="D24" s="25">
        <f t="shared" si="0"/>
        <v>-23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>
        <v>-2023</v>
      </c>
      <c r="C25" s="11">
        <v>-625</v>
      </c>
      <c r="D25" s="25">
        <f t="shared" si="0"/>
        <v>1398</v>
      </c>
    </row>
    <row r="26" spans="1:15" x14ac:dyDescent="0.25">
      <c r="A26" s="10">
        <v>21</v>
      </c>
      <c r="B26" s="11">
        <v>-1961</v>
      </c>
      <c r="C26" s="11">
        <v>-2139</v>
      </c>
      <c r="D26" s="25">
        <f t="shared" si="0"/>
        <v>-178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>
        <v>-1992</v>
      </c>
      <c r="C27" s="11">
        <v>-2139</v>
      </c>
      <c r="D27" s="25">
        <f t="shared" si="0"/>
        <v>-147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-31201</v>
      </c>
      <c r="C37" s="11">
        <f>SUM(C6:C36)</f>
        <v>-45323</v>
      </c>
      <c r="D37" s="25">
        <f>SUM(D6:D36)</f>
        <v>-14122</v>
      </c>
    </row>
    <row r="38" spans="1:4" x14ac:dyDescent="0.25">
      <c r="A38" s="26"/>
      <c r="C38" s="14"/>
      <c r="D38" s="345">
        <f>+summary!H4</f>
        <v>2.88</v>
      </c>
    </row>
    <row r="39" spans="1:4" x14ac:dyDescent="0.25">
      <c r="D39" s="138">
        <f>+D38*D37</f>
        <v>-40671.360000000001</v>
      </c>
    </row>
    <row r="40" spans="1:4" x14ac:dyDescent="0.25">
      <c r="A40" s="57">
        <v>37103</v>
      </c>
      <c r="C40" s="15"/>
      <c r="D40" s="359">
        <v>-394244.14</v>
      </c>
    </row>
    <row r="41" spans="1:4" x14ac:dyDescent="0.25">
      <c r="A41" s="57">
        <v>37125</v>
      </c>
      <c r="C41" s="48"/>
      <c r="D41" s="138">
        <f>+D40+D39</f>
        <v>-434915.5</v>
      </c>
    </row>
    <row r="47" spans="1:4" x14ac:dyDescent="0.25">
      <c r="A47" s="32" t="s">
        <v>157</v>
      </c>
      <c r="B47" s="32"/>
      <c r="C47" s="32"/>
      <c r="D47" s="32"/>
    </row>
    <row r="48" spans="1:4" x14ac:dyDescent="0.25">
      <c r="A48" s="49">
        <f>+A40</f>
        <v>37103</v>
      </c>
      <c r="B48" s="32"/>
      <c r="C48" s="32"/>
      <c r="D48" s="212">
        <v>-68282</v>
      </c>
    </row>
    <row r="49" spans="1:4" x14ac:dyDescent="0.25">
      <c r="A49" s="49">
        <f>+A41</f>
        <v>37125</v>
      </c>
      <c r="B49" s="32"/>
      <c r="C49" s="32"/>
      <c r="D49" s="379">
        <f>+D37</f>
        <v>-14122</v>
      </c>
    </row>
    <row r="50" spans="1:4" x14ac:dyDescent="0.25">
      <c r="A50" s="32"/>
      <c r="B50" s="32"/>
      <c r="C50" s="32"/>
      <c r="D50" s="14">
        <f>+D49+D48</f>
        <v>-82404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workbookViewId="3">
      <selection activeCell="A19" sqref="A19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144</v>
      </c>
      <c r="C3" s="87"/>
      <c r="D3" s="87"/>
    </row>
    <row r="4" spans="1:4" x14ac:dyDescent="0.25">
      <c r="A4" s="3"/>
      <c r="B4" s="347" t="s">
        <v>141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5">
      <c r="A8" s="10">
        <v>3</v>
      </c>
      <c r="B8" s="11"/>
      <c r="C8" s="11"/>
      <c r="D8" s="25">
        <f t="shared" si="0"/>
        <v>0</v>
      </c>
    </row>
    <row r="9" spans="1:4" x14ac:dyDescent="0.25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5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5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5">
      <c r="A12" s="10">
        <v>7</v>
      </c>
      <c r="B12" s="11">
        <v>-97070</v>
      </c>
      <c r="C12" s="11">
        <v>-108743</v>
      </c>
      <c r="D12" s="25">
        <f t="shared" si="0"/>
        <v>-11673</v>
      </c>
    </row>
    <row r="13" spans="1:4" x14ac:dyDescent="0.25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5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5">
      <c r="A17" s="10">
        <v>12</v>
      </c>
      <c r="B17" s="11">
        <v>-13135</v>
      </c>
      <c r="C17" s="11">
        <v>-20000</v>
      </c>
      <c r="D17" s="25">
        <f t="shared" si="0"/>
        <v>-6865</v>
      </c>
    </row>
    <row r="18" spans="1:4" x14ac:dyDescent="0.25">
      <c r="A18" s="10">
        <v>13</v>
      </c>
      <c r="B18" s="11">
        <v>-60483</v>
      </c>
      <c r="C18" s="11">
        <v>-29781</v>
      </c>
      <c r="D18" s="25">
        <f t="shared" si="0"/>
        <v>30702</v>
      </c>
    </row>
    <row r="19" spans="1:4" x14ac:dyDescent="0.25">
      <c r="A19" s="10">
        <v>14</v>
      </c>
      <c r="B19" s="11">
        <v>-57710</v>
      </c>
      <c r="C19" s="11">
        <v>-79525</v>
      </c>
      <c r="D19" s="25">
        <f t="shared" si="0"/>
        <v>-21815</v>
      </c>
    </row>
    <row r="20" spans="1:4" x14ac:dyDescent="0.25">
      <c r="A20" s="10">
        <v>15</v>
      </c>
      <c r="B20" s="11">
        <v>-92681</v>
      </c>
      <c r="C20" s="11">
        <v>-85129</v>
      </c>
      <c r="D20" s="25">
        <f t="shared" si="0"/>
        <v>7552</v>
      </c>
    </row>
    <row r="21" spans="1:4" x14ac:dyDescent="0.25">
      <c r="A21" s="10">
        <v>16</v>
      </c>
      <c r="B21" s="11">
        <v>-99516</v>
      </c>
      <c r="C21" s="11">
        <v>-74859</v>
      </c>
      <c r="D21" s="25">
        <f t="shared" si="0"/>
        <v>24657</v>
      </c>
    </row>
    <row r="22" spans="1:4" x14ac:dyDescent="0.25">
      <c r="A22" s="10">
        <v>17</v>
      </c>
      <c r="B22" s="11">
        <v>-32937</v>
      </c>
      <c r="C22" s="11">
        <v>-30000</v>
      </c>
      <c r="D22" s="25">
        <f t="shared" si="0"/>
        <v>2937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>
        <v>-5244</v>
      </c>
      <c r="D25" s="25">
        <f t="shared" si="0"/>
        <v>-5244</v>
      </c>
    </row>
    <row r="26" spans="1:4" x14ac:dyDescent="0.25">
      <c r="A26" s="10">
        <v>21</v>
      </c>
      <c r="B26" s="11">
        <v>-188</v>
      </c>
      <c r="C26" s="11">
        <v>-4252</v>
      </c>
      <c r="D26" s="25">
        <f t="shared" si="0"/>
        <v>-4064</v>
      </c>
    </row>
    <row r="27" spans="1:4" x14ac:dyDescent="0.25">
      <c r="A27" s="10">
        <v>22</v>
      </c>
      <c r="B27" s="11">
        <v>-7</v>
      </c>
      <c r="C27" s="11"/>
      <c r="D27" s="25">
        <f t="shared" si="0"/>
        <v>7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-750058</v>
      </c>
      <c r="C37" s="11">
        <f>SUM(C6:C36)</f>
        <v>-697175</v>
      </c>
      <c r="D37" s="25">
        <f>SUM(D6:D36)</f>
        <v>52883</v>
      </c>
    </row>
    <row r="38" spans="1:4" x14ac:dyDescent="0.25">
      <c r="A38" s="26"/>
      <c r="C38" s="14"/>
      <c r="D38" s="345">
        <f>+summary!H4</f>
        <v>2.88</v>
      </c>
    </row>
    <row r="39" spans="1:4" x14ac:dyDescent="0.25">
      <c r="D39" s="138">
        <f>+D38*D37</f>
        <v>152303.04000000001</v>
      </c>
    </row>
    <row r="40" spans="1:4" x14ac:dyDescent="0.25">
      <c r="A40" s="57">
        <v>37103</v>
      </c>
      <c r="C40" s="15"/>
      <c r="D40" s="359">
        <v>-351170.32</v>
      </c>
    </row>
    <row r="41" spans="1:4" x14ac:dyDescent="0.25">
      <c r="A41" s="57">
        <v>37125</v>
      </c>
      <c r="C41" s="48"/>
      <c r="D41" s="138">
        <f>+D40+D39</f>
        <v>-198867.28</v>
      </c>
    </row>
    <row r="42" spans="1:4" x14ac:dyDescent="0.25">
      <c r="D42" s="24"/>
    </row>
    <row r="45" spans="1:4" x14ac:dyDescent="0.25">
      <c r="A45" s="32" t="s">
        <v>157</v>
      </c>
      <c r="B45" s="32"/>
      <c r="C45" s="32"/>
      <c r="D45" s="32"/>
    </row>
    <row r="46" spans="1:4" x14ac:dyDescent="0.25">
      <c r="A46" s="49">
        <f>+A40</f>
        <v>37103</v>
      </c>
      <c r="B46" s="32"/>
      <c r="C46" s="32"/>
      <c r="D46" s="212">
        <v>-150287</v>
      </c>
    </row>
    <row r="47" spans="1:4" x14ac:dyDescent="0.25">
      <c r="A47" s="49">
        <f>+A41</f>
        <v>37125</v>
      </c>
      <c r="B47" s="32"/>
      <c r="C47" s="32"/>
      <c r="D47" s="379">
        <f>+D37</f>
        <v>52883</v>
      </c>
    </row>
    <row r="48" spans="1:4" x14ac:dyDescent="0.25">
      <c r="A48" s="32"/>
      <c r="B48" s="32"/>
      <c r="C48" s="32"/>
      <c r="D48" s="14">
        <f>+D47+D46</f>
        <v>-97404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B7" sqref="B7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140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56659</v>
      </c>
      <c r="B5" s="342">
        <v>-22921</v>
      </c>
      <c r="C5" s="90">
        <v>-2574</v>
      </c>
      <c r="D5" s="90">
        <f>+C5-B5</f>
        <v>20347</v>
      </c>
      <c r="E5" s="285"/>
      <c r="F5" s="283"/>
    </row>
    <row r="6" spans="1:13" x14ac:dyDescent="0.25">
      <c r="A6" s="87">
        <v>500046</v>
      </c>
      <c r="B6" s="90">
        <v>-507</v>
      </c>
      <c r="C6" s="90"/>
      <c r="D6" s="90">
        <f t="shared" ref="D6:D11" si="0">+C6-B6</f>
        <v>507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5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5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5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5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5">
      <c r="A12" s="87"/>
      <c r="B12" s="88"/>
      <c r="C12" s="88"/>
      <c r="D12" s="88">
        <f>SUM(D5:D11)</f>
        <v>20854</v>
      </c>
      <c r="E12" s="285"/>
      <c r="F12" s="283"/>
    </row>
    <row r="13" spans="1:13" x14ac:dyDescent="0.25">
      <c r="A13" s="87" t="s">
        <v>84</v>
      </c>
      <c r="B13" s="88"/>
      <c r="C13" s="88"/>
      <c r="D13" s="95">
        <f>+summary!H4</f>
        <v>2.88</v>
      </c>
      <c r="E13" s="287"/>
      <c r="F13" s="283"/>
    </row>
    <row r="14" spans="1:13" x14ac:dyDescent="0.25">
      <c r="A14" s="87"/>
      <c r="B14" s="88"/>
      <c r="C14" s="88"/>
      <c r="D14" s="96">
        <f>+D13*D12</f>
        <v>60059.519999999997</v>
      </c>
      <c r="E14" s="209"/>
      <c r="F14" s="284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37103</v>
      </c>
      <c r="B16" s="88"/>
      <c r="C16" s="88"/>
      <c r="D16" s="455">
        <v>-856340.66</v>
      </c>
      <c r="E16" s="209"/>
      <c r="F16" s="66"/>
    </row>
    <row r="17" spans="1:7" x14ac:dyDescent="0.25">
      <c r="A17" s="87"/>
      <c r="B17" s="88"/>
      <c r="C17" s="88"/>
      <c r="D17" s="322"/>
      <c r="E17" s="209"/>
      <c r="F17" s="66"/>
    </row>
    <row r="18" spans="1:7" ht="13.8" thickBot="1" x14ac:dyDescent="0.3">
      <c r="A18" s="99">
        <v>37125</v>
      </c>
      <c r="B18" s="88"/>
      <c r="C18" s="88"/>
      <c r="D18" s="334">
        <f>+D16+D14</f>
        <v>-796281.14</v>
      </c>
      <c r="E18" s="209"/>
      <c r="F18" s="66"/>
    </row>
    <row r="19" spans="1:7" ht="13.8" thickTop="1" x14ac:dyDescent="0.25">
      <c r="E19" s="288"/>
    </row>
    <row r="21" spans="1:7" x14ac:dyDescent="0.25">
      <c r="A21" s="32" t="s">
        <v>157</v>
      </c>
      <c r="B21" s="32"/>
      <c r="C21" s="32"/>
      <c r="D21" s="32"/>
    </row>
    <row r="22" spans="1:7" x14ac:dyDescent="0.25">
      <c r="A22" s="49">
        <f>+A16</f>
        <v>37103</v>
      </c>
      <c r="B22" s="32"/>
      <c r="C22" s="32"/>
      <c r="D22" s="212">
        <v>-187753</v>
      </c>
    </row>
    <row r="23" spans="1:7" x14ac:dyDescent="0.25">
      <c r="A23" s="49">
        <f>+A18</f>
        <v>37125</v>
      </c>
      <c r="B23" s="32"/>
      <c r="C23" s="32"/>
      <c r="D23" s="379">
        <f>+D12</f>
        <v>20854</v>
      </c>
    </row>
    <row r="24" spans="1:7" x14ac:dyDescent="0.25">
      <c r="A24" s="32"/>
      <c r="B24" s="32"/>
      <c r="C24" s="32"/>
      <c r="D24" s="14">
        <f>+D23+D22</f>
        <v>-166899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6" workbookViewId="3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147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5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5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5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5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>
        <v>-4</v>
      </c>
      <c r="C21" s="11"/>
      <c r="D21" s="25">
        <f t="shared" si="0"/>
        <v>4</v>
      </c>
    </row>
    <row r="22" spans="1:4" x14ac:dyDescent="0.25">
      <c r="A22" s="10">
        <v>17</v>
      </c>
      <c r="B22" s="11">
        <v>-1</v>
      </c>
      <c r="C22" s="11"/>
      <c r="D22" s="25">
        <f t="shared" si="0"/>
        <v>1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</v>
      </c>
      <c r="C37" s="11">
        <f>SUM(C6:C36)</f>
        <v>-11840</v>
      </c>
      <c r="D37" s="25">
        <f>SUM(D6:D36)</f>
        <v>-11835</v>
      </c>
    </row>
    <row r="38" spans="1:4" x14ac:dyDescent="0.25">
      <c r="A38" s="26"/>
      <c r="C38" s="14"/>
      <c r="D38" s="360"/>
    </row>
    <row r="39" spans="1:4" x14ac:dyDescent="0.25">
      <c r="D39" s="138"/>
    </row>
    <row r="40" spans="1:4" x14ac:dyDescent="0.25">
      <c r="A40" s="57">
        <v>37103</v>
      </c>
      <c r="C40" s="15"/>
      <c r="D40" s="442">
        <v>76325</v>
      </c>
    </row>
    <row r="41" spans="1:4" x14ac:dyDescent="0.25">
      <c r="A41" s="57">
        <v>37125</v>
      </c>
      <c r="C41" s="48"/>
      <c r="D41" s="25">
        <f>+D40+D37</f>
        <v>64490</v>
      </c>
    </row>
    <row r="44" spans="1:4" x14ac:dyDescent="0.25">
      <c r="A44" s="32" t="s">
        <v>158</v>
      </c>
      <c r="B44" s="32"/>
      <c r="C44" s="32"/>
      <c r="D44" s="47"/>
    </row>
    <row r="45" spans="1:4" x14ac:dyDescent="0.25">
      <c r="A45" s="49">
        <f>+A40</f>
        <v>37103</v>
      </c>
      <c r="B45" s="32"/>
      <c r="C45" s="32"/>
      <c r="D45" s="443">
        <v>341220.3</v>
      </c>
    </row>
    <row r="46" spans="1:4" x14ac:dyDescent="0.25">
      <c r="A46" s="49">
        <f>+A41</f>
        <v>37125</v>
      </c>
      <c r="B46" s="32"/>
      <c r="C46" s="32"/>
      <c r="D46" s="408">
        <f>+D37*'by type'!J4</f>
        <v>-34084.799999999996</v>
      </c>
    </row>
    <row r="47" spans="1:4" x14ac:dyDescent="0.25">
      <c r="A47" s="32"/>
      <c r="B47" s="32"/>
      <c r="C47" s="32"/>
      <c r="D47" s="202">
        <f>+D46+D45</f>
        <v>307135.5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C26" sqref="C26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5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5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5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5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5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5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5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5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5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5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5">
      <c r="A18" s="10">
        <v>12</v>
      </c>
      <c r="B18" s="11">
        <v>111233</v>
      </c>
      <c r="C18" s="11">
        <v>110704</v>
      </c>
      <c r="D18" s="25">
        <f t="shared" si="0"/>
        <v>-529</v>
      </c>
    </row>
    <row r="19" spans="1:4" x14ac:dyDescent="0.25">
      <c r="A19" s="10">
        <v>13</v>
      </c>
      <c r="B19" s="11">
        <v>119896</v>
      </c>
      <c r="C19" s="11">
        <v>119795</v>
      </c>
      <c r="D19" s="25">
        <f t="shared" si="0"/>
        <v>-101</v>
      </c>
    </row>
    <row r="20" spans="1:4" x14ac:dyDescent="0.25">
      <c r="A20" s="10">
        <v>14</v>
      </c>
      <c r="B20" s="11">
        <v>112667</v>
      </c>
      <c r="C20" s="11">
        <v>112310</v>
      </c>
      <c r="D20" s="25">
        <f t="shared" si="0"/>
        <v>-357</v>
      </c>
    </row>
    <row r="21" spans="1:4" x14ac:dyDescent="0.25">
      <c r="A21" s="10">
        <v>15</v>
      </c>
      <c r="B21" s="11">
        <v>108935</v>
      </c>
      <c r="C21" s="11">
        <v>108429</v>
      </c>
      <c r="D21" s="25">
        <f t="shared" si="0"/>
        <v>-506</v>
      </c>
    </row>
    <row r="22" spans="1:4" x14ac:dyDescent="0.25">
      <c r="A22" s="10">
        <v>16</v>
      </c>
      <c r="B22" s="11">
        <v>107432</v>
      </c>
      <c r="C22" s="11">
        <v>107294</v>
      </c>
      <c r="D22" s="25">
        <f t="shared" si="0"/>
        <v>-138</v>
      </c>
    </row>
    <row r="23" spans="1:4" x14ac:dyDescent="0.25">
      <c r="A23" s="10">
        <v>17</v>
      </c>
      <c r="B23" s="11">
        <v>108973</v>
      </c>
      <c r="C23" s="11">
        <v>108429</v>
      </c>
      <c r="D23" s="25">
        <f t="shared" si="0"/>
        <v>-544</v>
      </c>
    </row>
    <row r="24" spans="1:4" x14ac:dyDescent="0.25">
      <c r="A24" s="10">
        <v>18</v>
      </c>
      <c r="B24" s="11">
        <v>105972</v>
      </c>
      <c r="C24" s="11">
        <v>105750</v>
      </c>
      <c r="D24" s="25">
        <f t="shared" si="0"/>
        <v>-222</v>
      </c>
    </row>
    <row r="25" spans="1:4" x14ac:dyDescent="0.25">
      <c r="A25" s="10">
        <v>19</v>
      </c>
      <c r="B25" s="11">
        <v>106485</v>
      </c>
      <c r="C25" s="11">
        <v>106082</v>
      </c>
      <c r="D25" s="25">
        <f t="shared" si="0"/>
        <v>-403</v>
      </c>
    </row>
    <row r="26" spans="1:4" x14ac:dyDescent="0.25">
      <c r="A26" s="10">
        <v>20</v>
      </c>
      <c r="B26" s="11">
        <v>97063</v>
      </c>
      <c r="C26" s="11">
        <v>94980</v>
      </c>
      <c r="D26" s="25">
        <f t="shared" si="0"/>
        <v>-2083</v>
      </c>
    </row>
    <row r="27" spans="1:4" x14ac:dyDescent="0.25">
      <c r="A27" s="10">
        <v>21</v>
      </c>
      <c r="B27" s="11">
        <v>91009</v>
      </c>
      <c r="C27" s="11">
        <v>90233</v>
      </c>
      <c r="D27" s="25">
        <f t="shared" si="0"/>
        <v>-776</v>
      </c>
    </row>
    <row r="28" spans="1:4" x14ac:dyDescent="0.25">
      <c r="A28" s="10">
        <v>22</v>
      </c>
      <c r="B28" s="11">
        <v>120835</v>
      </c>
      <c r="C28" s="11">
        <v>120080</v>
      </c>
      <c r="D28" s="25">
        <f t="shared" si="0"/>
        <v>-755</v>
      </c>
    </row>
    <row r="29" spans="1:4" x14ac:dyDescent="0.25">
      <c r="A29" s="10">
        <v>23</v>
      </c>
      <c r="B29" s="11">
        <v>119482</v>
      </c>
      <c r="C29" s="11">
        <v>118456</v>
      </c>
      <c r="D29" s="25">
        <f t="shared" si="0"/>
        <v>-1026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2561012</v>
      </c>
      <c r="C38" s="11">
        <f>SUM(C7:C37)</f>
        <v>2577175</v>
      </c>
      <c r="D38" s="11">
        <f>SUM(D7:D37)</f>
        <v>16163</v>
      </c>
    </row>
    <row r="39" spans="1:4" x14ac:dyDescent="0.25">
      <c r="A39" s="26"/>
      <c r="C39" s="14"/>
      <c r="D39" s="106">
        <f>+summary!H3</f>
        <v>2.69</v>
      </c>
    </row>
    <row r="40" spans="1:4" x14ac:dyDescent="0.25">
      <c r="D40" s="138">
        <f>+D39*D38</f>
        <v>43478.47</v>
      </c>
    </row>
    <row r="41" spans="1:4" x14ac:dyDescent="0.25">
      <c r="A41" s="57">
        <v>37103</v>
      </c>
      <c r="C41" s="15"/>
      <c r="D41" s="370">
        <v>-36642</v>
      </c>
    </row>
    <row r="42" spans="1:4" x14ac:dyDescent="0.25">
      <c r="A42" s="57">
        <v>37126</v>
      </c>
      <c r="D42" s="337">
        <f>+D41+D40</f>
        <v>6836.4700000000012</v>
      </c>
    </row>
    <row r="46" spans="1:4" x14ac:dyDescent="0.25">
      <c r="A46" s="32" t="s">
        <v>157</v>
      </c>
      <c r="B46" s="32"/>
      <c r="C46" s="32"/>
      <c r="D46" s="32"/>
    </row>
    <row r="47" spans="1:4" x14ac:dyDescent="0.25">
      <c r="A47" s="49">
        <f>+A41</f>
        <v>37103</v>
      </c>
      <c r="B47" s="32"/>
      <c r="C47" s="32"/>
      <c r="D47" s="212">
        <v>-14958</v>
      </c>
    </row>
    <row r="48" spans="1:4" x14ac:dyDescent="0.25">
      <c r="A48" s="49">
        <f>+A42</f>
        <v>37126</v>
      </c>
      <c r="B48" s="32"/>
      <c r="C48" s="32"/>
      <c r="D48" s="379">
        <f>+D38</f>
        <v>16163</v>
      </c>
    </row>
    <row r="49" spans="1:4" x14ac:dyDescent="0.25">
      <c r="A49" s="32"/>
      <c r="B49" s="32"/>
      <c r="C49" s="32"/>
      <c r="D49" s="14">
        <f>+D48+D47</f>
        <v>1205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3" workbookViewId="3">
      <selection activeCell="E25" sqref="E25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>
        <v>-57225</v>
      </c>
      <c r="C17" s="11">
        <v>-27000</v>
      </c>
      <c r="D17" s="11"/>
      <c r="E17" s="11">
        <v>-28771</v>
      </c>
      <c r="F17" s="11">
        <f t="shared" si="0"/>
        <v>1454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>
        <v>-88695</v>
      </c>
      <c r="C18" s="11">
        <v>-12000</v>
      </c>
      <c r="D18" s="11"/>
      <c r="E18" s="11">
        <v>-75910</v>
      </c>
      <c r="F18" s="11">
        <f t="shared" si="0"/>
        <v>785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>
        <v>-79069</v>
      </c>
      <c r="C19" s="11">
        <v>-11998</v>
      </c>
      <c r="D19" s="11">
        <v>-23700</v>
      </c>
      <c r="E19" s="11">
        <v>-90257</v>
      </c>
      <c r="F19" s="11">
        <f t="shared" si="0"/>
        <v>514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>
        <v>-46861</v>
      </c>
      <c r="C20" s="11">
        <v>-5000</v>
      </c>
      <c r="D20" s="11">
        <v>-44315</v>
      </c>
      <c r="E20" s="11">
        <v>-84512</v>
      </c>
      <c r="F20" s="11">
        <f t="shared" si="0"/>
        <v>1664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>
        <v>-62441</v>
      </c>
      <c r="C21" s="11"/>
      <c r="D21" s="11"/>
      <c r="E21" s="11">
        <v>-60910</v>
      </c>
      <c r="F21" s="11">
        <f t="shared" si="0"/>
        <v>1531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>
        <v>-81752</v>
      </c>
      <c r="C22" s="11">
        <v>-48000</v>
      </c>
      <c r="D22" s="11">
        <v>-65196</v>
      </c>
      <c r="E22" s="11">
        <v>-97157</v>
      </c>
      <c r="F22" s="11">
        <f t="shared" si="0"/>
        <v>1791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>
        <v>-76011</v>
      </c>
      <c r="C23" s="11">
        <v>-48000</v>
      </c>
      <c r="D23" s="11">
        <v>-60094</v>
      </c>
      <c r="E23" s="11">
        <v>-88748</v>
      </c>
      <c r="F23" s="11">
        <f t="shared" si="0"/>
        <v>-643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>
        <v>-84945</v>
      </c>
      <c r="C24" s="11">
        <v>-48000</v>
      </c>
      <c r="D24" s="11">
        <v>-68581</v>
      </c>
      <c r="E24" s="11">
        <v>-102023</v>
      </c>
      <c r="F24" s="11">
        <f t="shared" si="0"/>
        <v>3503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-1171503</v>
      </c>
      <c r="C36" s="44">
        <f>SUM(C5:C35)</f>
        <v>-360998</v>
      </c>
      <c r="D36" s="43">
        <f>SUM(D5:D35)</f>
        <v>-261976</v>
      </c>
      <c r="E36" s="44">
        <f>SUM(E5:E35)</f>
        <v>-1046715</v>
      </c>
      <c r="F36" s="11">
        <f>SUM(F5:F35)</f>
        <v>25766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-810505</v>
      </c>
      <c r="D37" s="24"/>
      <c r="E37" s="24">
        <f>+D36-E36</f>
        <v>784739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37123</v>
      </c>
      <c r="C42" s="14"/>
      <c r="D42" s="50"/>
      <c r="E42" s="50"/>
      <c r="F42" s="51">
        <f>+F41+F36</f>
        <v>62105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  <row r="46" spans="1:12" x14ac:dyDescent="0.25">
      <c r="A46" s="32" t="s">
        <v>158</v>
      </c>
      <c r="B46" s="32"/>
      <c r="C46" s="32"/>
      <c r="D46" s="47"/>
    </row>
    <row r="47" spans="1:12" x14ac:dyDescent="0.25">
      <c r="A47" s="49">
        <f>+B41</f>
        <v>37103</v>
      </c>
      <c r="B47" s="32"/>
      <c r="C47" s="32"/>
      <c r="D47" s="202">
        <v>-29968.41</v>
      </c>
    </row>
    <row r="48" spans="1:12" x14ac:dyDescent="0.25">
      <c r="A48" s="49">
        <f>+B42</f>
        <v>37123</v>
      </c>
      <c r="B48" s="32"/>
      <c r="C48" s="32"/>
      <c r="D48" s="408">
        <f>+F36*'by type'!J4</f>
        <v>74206.080000000002</v>
      </c>
    </row>
    <row r="49" spans="1:4" x14ac:dyDescent="0.25">
      <c r="A49" s="32"/>
      <c r="B49" s="32"/>
      <c r="C49" s="32"/>
      <c r="D49" s="202">
        <f>+D48+D47</f>
        <v>44237.67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0" workbookViewId="3">
      <selection activeCell="C36" sqref="C36"/>
    </sheetView>
  </sheetViews>
  <sheetFormatPr defaultRowHeight="13.2" x14ac:dyDescent="0.25"/>
  <cols>
    <col min="1" max="1" width="7.8867187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-149502</v>
      </c>
      <c r="C4" s="11">
        <v>-150326</v>
      </c>
      <c r="D4" s="25">
        <f>+C4-B4</f>
        <v>-824</v>
      </c>
    </row>
    <row r="5" spans="1:4" x14ac:dyDescent="0.25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5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5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5">
      <c r="A8" s="10">
        <v>5</v>
      </c>
      <c r="B8" s="129">
        <v>-231789</v>
      </c>
      <c r="C8" s="11">
        <v>-235157</v>
      </c>
      <c r="D8" s="25">
        <f t="shared" si="0"/>
        <v>-3368</v>
      </c>
    </row>
    <row r="9" spans="1:4" x14ac:dyDescent="0.25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5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5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5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5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5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5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5">
      <c r="A16" s="10">
        <v>13</v>
      </c>
      <c r="B16" s="11">
        <v>-180446</v>
      </c>
      <c r="C16" s="11">
        <v>-185322</v>
      </c>
      <c r="D16" s="25">
        <f t="shared" si="0"/>
        <v>-4876</v>
      </c>
    </row>
    <row r="17" spans="1:4" x14ac:dyDescent="0.25">
      <c r="A17" s="10">
        <v>14</v>
      </c>
      <c r="B17" s="11">
        <v>-179929</v>
      </c>
      <c r="C17" s="11">
        <v>-178986</v>
      </c>
      <c r="D17" s="25">
        <f t="shared" si="0"/>
        <v>943</v>
      </c>
    </row>
    <row r="18" spans="1:4" x14ac:dyDescent="0.25">
      <c r="A18" s="10">
        <v>15</v>
      </c>
      <c r="B18" s="11">
        <v>-198888</v>
      </c>
      <c r="C18" s="11">
        <v>-198260</v>
      </c>
      <c r="D18" s="25">
        <f t="shared" si="0"/>
        <v>628</v>
      </c>
    </row>
    <row r="19" spans="1:4" x14ac:dyDescent="0.25">
      <c r="A19" s="10">
        <v>16</v>
      </c>
      <c r="B19" s="11">
        <v>-201390</v>
      </c>
      <c r="C19" s="11">
        <v>-202819</v>
      </c>
      <c r="D19" s="25">
        <f t="shared" si="0"/>
        <v>-1429</v>
      </c>
    </row>
    <row r="20" spans="1:4" x14ac:dyDescent="0.25">
      <c r="A20" s="10">
        <v>17</v>
      </c>
      <c r="B20" s="11">
        <v>-221368</v>
      </c>
      <c r="C20" s="11">
        <v>-219862</v>
      </c>
      <c r="D20" s="25">
        <f t="shared" si="0"/>
        <v>1506</v>
      </c>
    </row>
    <row r="21" spans="1:4" x14ac:dyDescent="0.25">
      <c r="A21" s="10">
        <v>18</v>
      </c>
      <c r="B21" s="11">
        <v>-246242</v>
      </c>
      <c r="C21" s="11">
        <v>-245186</v>
      </c>
      <c r="D21" s="25">
        <f t="shared" si="0"/>
        <v>1056</v>
      </c>
    </row>
    <row r="22" spans="1:4" x14ac:dyDescent="0.25">
      <c r="A22" s="10">
        <v>19</v>
      </c>
      <c r="B22" s="11">
        <v>-212136</v>
      </c>
      <c r="C22" s="11">
        <v>-211394</v>
      </c>
      <c r="D22" s="25">
        <f t="shared" si="0"/>
        <v>742</v>
      </c>
    </row>
    <row r="23" spans="1:4" x14ac:dyDescent="0.25">
      <c r="A23" s="10">
        <v>20</v>
      </c>
      <c r="B23" s="11">
        <v>-189598</v>
      </c>
      <c r="C23" s="11">
        <v>-188009</v>
      </c>
      <c r="D23" s="25">
        <f t="shared" si="0"/>
        <v>1589</v>
      </c>
    </row>
    <row r="24" spans="1:4" x14ac:dyDescent="0.25">
      <c r="A24" s="10">
        <v>21</v>
      </c>
      <c r="B24" s="11">
        <v>-122945</v>
      </c>
      <c r="C24" s="11">
        <v>-120841</v>
      </c>
      <c r="D24" s="25">
        <f t="shared" si="0"/>
        <v>2104</v>
      </c>
    </row>
    <row r="25" spans="1:4" x14ac:dyDescent="0.25">
      <c r="A25" s="10">
        <v>22</v>
      </c>
      <c r="B25" s="11">
        <v>-180542</v>
      </c>
      <c r="C25" s="11">
        <v>-179917</v>
      </c>
      <c r="D25" s="25">
        <f t="shared" si="0"/>
        <v>625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-4035291</v>
      </c>
      <c r="C35" s="11">
        <f>SUM(C4:C34)</f>
        <v>-4032528</v>
      </c>
      <c r="D35" s="11">
        <f>SUM(D4:D34)</f>
        <v>2763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49">
        <v>37103</v>
      </c>
      <c r="D38" s="247">
        <v>24900</v>
      </c>
    </row>
    <row r="39" spans="1:30" x14ac:dyDescent="0.25">
      <c r="A39" s="12"/>
      <c r="D39" s="24"/>
    </row>
    <row r="40" spans="1:30" x14ac:dyDescent="0.25">
      <c r="A40" s="249">
        <v>37125</v>
      </c>
      <c r="D40" s="24">
        <f>+D38+D35</f>
        <v>27663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158</v>
      </c>
      <c r="B44" s="32"/>
      <c r="C44" s="32"/>
      <c r="D44" s="47"/>
      <c r="K44"/>
    </row>
    <row r="45" spans="1:30" x14ac:dyDescent="0.25">
      <c r="A45" s="49">
        <f>+A38</f>
        <v>37103</v>
      </c>
      <c r="B45" s="32"/>
      <c r="C45" s="32"/>
      <c r="D45" s="443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37125</v>
      </c>
      <c r="B46" s="32"/>
      <c r="C46" s="32"/>
      <c r="D46" s="408">
        <f>+D35*'by type'!J4</f>
        <v>7957.44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-148125.94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1" workbookViewId="3">
      <selection activeCell="B26" sqref="B26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5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5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5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5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5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5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5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5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5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5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5">
      <c r="A15" s="10">
        <v>12</v>
      </c>
      <c r="B15" s="11">
        <v>-743592</v>
      </c>
      <c r="C15" s="11">
        <v>-743981</v>
      </c>
      <c r="D15" s="11">
        <v>-51599</v>
      </c>
      <c r="E15" s="11">
        <v>-50000</v>
      </c>
      <c r="F15" s="25">
        <f t="shared" si="0"/>
        <v>1210</v>
      </c>
      <c r="H15" s="10"/>
      <c r="I15" s="11"/>
    </row>
    <row r="16" spans="1:11" x14ac:dyDescent="0.25">
      <c r="A16" s="10">
        <v>13</v>
      </c>
      <c r="B16" s="11">
        <v>-722904</v>
      </c>
      <c r="C16" s="11">
        <v>-722201</v>
      </c>
      <c r="D16" s="11">
        <v>-20107</v>
      </c>
      <c r="E16" s="11">
        <v>-20000</v>
      </c>
      <c r="F16" s="25">
        <f t="shared" si="0"/>
        <v>810</v>
      </c>
      <c r="H16" s="10"/>
      <c r="I16" s="11"/>
      <c r="K16" s="25"/>
    </row>
    <row r="17" spans="1:11" x14ac:dyDescent="0.25">
      <c r="A17" s="10">
        <v>14</v>
      </c>
      <c r="B17" s="11">
        <v>-711618</v>
      </c>
      <c r="C17" s="11">
        <v>-701605</v>
      </c>
      <c r="D17" s="11"/>
      <c r="E17" s="11"/>
      <c r="F17" s="25">
        <f t="shared" si="0"/>
        <v>10013</v>
      </c>
      <c r="H17" s="10"/>
      <c r="I17" s="11"/>
    </row>
    <row r="18" spans="1:11" x14ac:dyDescent="0.25">
      <c r="A18" s="10">
        <v>15</v>
      </c>
      <c r="B18" s="11">
        <v>-679140</v>
      </c>
      <c r="C18" s="11">
        <v>-681609</v>
      </c>
      <c r="D18" s="11"/>
      <c r="E18" s="11"/>
      <c r="F18" s="25">
        <f t="shared" si="0"/>
        <v>-2469</v>
      </c>
      <c r="H18" s="10"/>
      <c r="I18" s="11"/>
    </row>
    <row r="19" spans="1:11" x14ac:dyDescent="0.25">
      <c r="A19" s="10">
        <v>16</v>
      </c>
      <c r="B19" s="11">
        <v>-674938</v>
      </c>
      <c r="C19" s="11">
        <v>-699370</v>
      </c>
      <c r="D19" s="11">
        <v>-25872</v>
      </c>
      <c r="E19" s="11">
        <v>-25000</v>
      </c>
      <c r="F19" s="25">
        <f t="shared" si="0"/>
        <v>-23560</v>
      </c>
      <c r="H19" s="10"/>
      <c r="I19" s="11"/>
    </row>
    <row r="20" spans="1:11" x14ac:dyDescent="0.25">
      <c r="A20" s="10">
        <v>17</v>
      </c>
      <c r="B20" s="11">
        <v>-694068</v>
      </c>
      <c r="C20" s="11">
        <v>-664964</v>
      </c>
      <c r="D20" s="11">
        <v>-25122</v>
      </c>
      <c r="E20" s="11">
        <v>-25000</v>
      </c>
      <c r="F20" s="25">
        <f t="shared" si="0"/>
        <v>29226</v>
      </c>
      <c r="H20" s="10"/>
      <c r="I20" s="11"/>
    </row>
    <row r="21" spans="1:11" x14ac:dyDescent="0.25">
      <c r="A21" s="10">
        <v>18</v>
      </c>
      <c r="B21" s="11">
        <v>-715015</v>
      </c>
      <c r="C21" s="11">
        <v>-718391</v>
      </c>
      <c r="D21" s="11">
        <v>-185</v>
      </c>
      <c r="E21" s="11"/>
      <c r="F21" s="25">
        <f t="shared" si="0"/>
        <v>-3191</v>
      </c>
      <c r="H21" s="10"/>
      <c r="I21" s="11"/>
    </row>
    <row r="22" spans="1:11" x14ac:dyDescent="0.25">
      <c r="A22" s="10">
        <v>19</v>
      </c>
      <c r="B22" s="11">
        <v>-703637</v>
      </c>
      <c r="C22" s="11">
        <v>-699226</v>
      </c>
      <c r="D22" s="11">
        <v>-24990</v>
      </c>
      <c r="E22" s="11">
        <v>-25000</v>
      </c>
      <c r="F22" s="25">
        <f t="shared" si="0"/>
        <v>4401</v>
      </c>
      <c r="H22" s="10"/>
      <c r="I22" s="11"/>
    </row>
    <row r="23" spans="1:11" x14ac:dyDescent="0.25">
      <c r="A23" s="10">
        <v>20</v>
      </c>
      <c r="B23" s="11">
        <v>-684261</v>
      </c>
      <c r="C23" s="11">
        <v>-661695</v>
      </c>
      <c r="D23" s="11">
        <v>-6703</v>
      </c>
      <c r="E23" s="11">
        <v>-5000</v>
      </c>
      <c r="F23" s="25">
        <f t="shared" si="0"/>
        <v>24269</v>
      </c>
      <c r="H23" s="10"/>
      <c r="I23" s="11"/>
    </row>
    <row r="24" spans="1:11" x14ac:dyDescent="0.25">
      <c r="A24" s="10">
        <v>21</v>
      </c>
      <c r="B24" s="11">
        <v>-705505</v>
      </c>
      <c r="C24" s="11">
        <v>-692927</v>
      </c>
      <c r="D24" s="11">
        <v>-25793</v>
      </c>
      <c r="E24" s="11">
        <v>-25000</v>
      </c>
      <c r="F24" s="25">
        <f t="shared" si="0"/>
        <v>13371</v>
      </c>
      <c r="H24" s="10"/>
      <c r="I24" s="11"/>
      <c r="K24" s="25"/>
    </row>
    <row r="25" spans="1:11" x14ac:dyDescent="0.25">
      <c r="A25" s="10">
        <v>22</v>
      </c>
      <c r="B25" s="11">
        <v>-694670</v>
      </c>
      <c r="C25" s="11">
        <v>-697277</v>
      </c>
      <c r="D25" s="11">
        <v>-24997</v>
      </c>
      <c r="E25" s="11">
        <v>-25000</v>
      </c>
      <c r="F25" s="25">
        <f t="shared" si="0"/>
        <v>-2610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-15885748</v>
      </c>
      <c r="C35" s="11">
        <f>SUM(C4:C34)</f>
        <v>-15864613</v>
      </c>
      <c r="D35" s="11">
        <f>SUM(D4:D34)</f>
        <v>-491338</v>
      </c>
      <c r="E35" s="11">
        <f>SUM(E4:E34)</f>
        <v>-480000</v>
      </c>
      <c r="F35" s="11">
        <f>SUM(F4:F34)</f>
        <v>32473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37103</v>
      </c>
      <c r="F38" s="449">
        <v>145102</v>
      </c>
    </row>
    <row r="39" spans="1:45" x14ac:dyDescent="0.25">
      <c r="A39" s="2"/>
      <c r="F39" s="24"/>
    </row>
    <row r="40" spans="1:45" x14ac:dyDescent="0.25">
      <c r="A40" s="57">
        <v>37125</v>
      </c>
      <c r="F40" s="51">
        <f>+F38+F35</f>
        <v>177575</v>
      </c>
    </row>
    <row r="42" spans="1:45" x14ac:dyDescent="0.25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5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5">
      <c r="A45" s="49">
        <f>+A38</f>
        <v>37103</v>
      </c>
      <c r="B45" s="32"/>
      <c r="C45" s="32"/>
      <c r="D45" s="443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5">
      <c r="A46" s="49">
        <f>+A40</f>
        <v>37125</v>
      </c>
      <c r="B46" s="32"/>
      <c r="C46" s="32"/>
      <c r="D46" s="408">
        <f>+F35*'by type'!J4</f>
        <v>93522.239999999991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5">
      <c r="A47" s="32"/>
      <c r="B47" s="32"/>
      <c r="C47" s="32"/>
      <c r="D47" s="202">
        <f>+D46+D45</f>
        <v>541936.14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5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5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5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5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5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5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5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5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5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5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5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5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5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5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5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5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5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5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5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5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5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5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5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9" workbookViewId="3">
      <selection activeCell="C26" sqref="C26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469"/>
      <c r="L4" s="469"/>
      <c r="M4" s="469"/>
      <c r="N4" s="469"/>
      <c r="O4" s="295"/>
      <c r="P4" s="295"/>
    </row>
    <row r="5" spans="1:17" ht="13.2" x14ac:dyDescent="0.25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8"/>
      <c r="L5" s="34"/>
      <c r="M5" s="34"/>
      <c r="N5" s="189"/>
      <c r="O5" s="470" t="s">
        <v>197</v>
      </c>
      <c r="P5" s="189"/>
      <c r="Q5" s="2"/>
    </row>
    <row r="6" spans="1:17" ht="13.2" x14ac:dyDescent="0.25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18" t="s">
        <v>40</v>
      </c>
      <c r="L6" s="471" t="s">
        <v>20</v>
      </c>
      <c r="M6" s="471" t="s">
        <v>21</v>
      </c>
      <c r="N6" s="472" t="s">
        <v>51</v>
      </c>
      <c r="O6" s="470" t="s">
        <v>16</v>
      </c>
      <c r="P6" s="189" t="s">
        <v>28</v>
      </c>
      <c r="Q6" s="2"/>
    </row>
    <row r="7" spans="1:17" ht="13.2" x14ac:dyDescent="0.25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70">
        <v>8.2100000000000009</v>
      </c>
      <c r="P9" s="475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70">
        <v>5.62</v>
      </c>
      <c r="P10" s="475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70">
        <v>4.9800000000000004</v>
      </c>
      <c r="P11" s="475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70">
        <v>4.87</v>
      </c>
      <c r="P12" s="475">
        <f t="shared" si="2"/>
        <v>131246.5</v>
      </c>
      <c r="Q12" s="2"/>
    </row>
    <row r="13" spans="1:17" ht="20.100000000000001" customHeight="1" x14ac:dyDescent="0.25">
      <c r="A13" s="41">
        <v>10</v>
      </c>
      <c r="B13" s="11">
        <v>-150424</v>
      </c>
      <c r="C13" s="11">
        <v>-90703</v>
      </c>
      <c r="D13" s="11"/>
      <c r="E13" s="129">
        <v>-59808</v>
      </c>
      <c r="F13" s="11"/>
      <c r="G13" s="11"/>
      <c r="H13" s="11">
        <f t="shared" si="0"/>
        <v>-87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70">
        <v>3.82</v>
      </c>
      <c r="P13" s="475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>
        <v>-159237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-433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70">
        <v>3.2</v>
      </c>
      <c r="P14" s="475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>
        <v>-153130</v>
      </c>
      <c r="C15" s="11">
        <v>-130080</v>
      </c>
      <c r="D15" s="11">
        <v>-56945</v>
      </c>
      <c r="E15" s="11">
        <v>-79950</v>
      </c>
      <c r="F15" s="11"/>
      <c r="G15" s="11"/>
      <c r="H15" s="11">
        <f t="shared" si="0"/>
        <v>45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70">
        <v>2.77</v>
      </c>
      <c r="P15" s="476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>
        <v>-136048</v>
      </c>
      <c r="C16" s="11">
        <v>-141366</v>
      </c>
      <c r="D16" s="11">
        <v>-105213</v>
      </c>
      <c r="E16" s="11">
        <v>-100666</v>
      </c>
      <c r="F16" s="11"/>
      <c r="G16" s="11"/>
      <c r="H16" s="11">
        <f t="shared" si="0"/>
        <v>-771</v>
      </c>
      <c r="I16" s="11"/>
      <c r="J16" s="102"/>
      <c r="K16" s="34"/>
      <c r="L16" s="119"/>
      <c r="M16" s="119"/>
      <c r="N16" s="119"/>
      <c r="O16" s="473"/>
      <c r="P16" s="474">
        <f>SUM(P9:P15)</f>
        <v>460835.37</v>
      </c>
      <c r="Q16" s="2"/>
    </row>
    <row r="17" spans="1:17" ht="13.8" thickTop="1" x14ac:dyDescent="0.25">
      <c r="A17" s="41">
        <v>14</v>
      </c>
      <c r="B17" s="11">
        <v>-141659</v>
      </c>
      <c r="C17" s="11">
        <v>-117756</v>
      </c>
      <c r="D17" s="11">
        <v>-48404</v>
      </c>
      <c r="E17" s="11">
        <v>-72615</v>
      </c>
      <c r="F17" s="11"/>
      <c r="G17" s="11"/>
      <c r="H17" s="11">
        <f t="shared" si="0"/>
        <v>-308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>
        <v>-141744</v>
      </c>
      <c r="C18" s="11">
        <v>-97671</v>
      </c>
      <c r="D18" s="11">
        <v>-39144</v>
      </c>
      <c r="E18" s="11">
        <v>-73315</v>
      </c>
      <c r="F18" s="11"/>
      <c r="G18" s="11"/>
      <c r="H18" s="11">
        <f t="shared" si="0"/>
        <v>9902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1">
        <v>-131618</v>
      </c>
      <c r="C19" s="11">
        <v>-109589</v>
      </c>
      <c r="D19" s="11">
        <v>-88744</v>
      </c>
      <c r="E19" s="11">
        <v>-109950</v>
      </c>
      <c r="F19" s="11"/>
      <c r="G19" s="11"/>
      <c r="H19" s="11">
        <f t="shared" si="0"/>
        <v>823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1">
        <v>-142840</v>
      </c>
      <c r="C20" s="11">
        <v>-150006</v>
      </c>
      <c r="D20" s="11">
        <v>-124297</v>
      </c>
      <c r="E20" s="11">
        <v>-120000</v>
      </c>
      <c r="F20" s="11"/>
      <c r="G20" s="11"/>
      <c r="H20" s="11">
        <f t="shared" si="0"/>
        <v>-2869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-100414</v>
      </c>
      <c r="C21" s="11">
        <v>-81014</v>
      </c>
      <c r="D21" s="11">
        <v>-83965</v>
      </c>
      <c r="E21" s="11">
        <v>-102848</v>
      </c>
      <c r="F21" s="11"/>
      <c r="G21" s="11"/>
      <c r="H21" s="11">
        <f t="shared" si="0"/>
        <v>517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-107048</v>
      </c>
      <c r="C22" s="11">
        <v>-80107</v>
      </c>
      <c r="D22" s="11">
        <v>-83003</v>
      </c>
      <c r="E22" s="11">
        <v>-111256</v>
      </c>
      <c r="F22" s="11"/>
      <c r="G22" s="11"/>
      <c r="H22" s="11">
        <f t="shared" si="0"/>
        <v>-1312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-119742</v>
      </c>
      <c r="C23" s="11">
        <v>-81015</v>
      </c>
      <c r="D23" s="11">
        <v>-57920</v>
      </c>
      <c r="E23" s="11">
        <v>-97982</v>
      </c>
      <c r="F23" s="11"/>
      <c r="G23" s="11"/>
      <c r="H23" s="11">
        <f t="shared" si="0"/>
        <v>-1335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-141966</v>
      </c>
      <c r="C24" s="11">
        <v>-127453</v>
      </c>
      <c r="D24" s="11">
        <v>-96866</v>
      </c>
      <c r="E24" s="11">
        <v>-114950</v>
      </c>
      <c r="F24" s="11"/>
      <c r="G24" s="11"/>
      <c r="H24" s="11">
        <f t="shared" si="0"/>
        <v>-3571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-137179</v>
      </c>
      <c r="C25" s="11">
        <v>-120862</v>
      </c>
      <c r="D25" s="11">
        <v>-74547</v>
      </c>
      <c r="E25" s="11">
        <v>-91154</v>
      </c>
      <c r="F25" s="11"/>
      <c r="G25" s="11"/>
      <c r="H25" s="11">
        <f t="shared" si="0"/>
        <v>-290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-3015669</v>
      </c>
      <c r="C35" s="44">
        <f t="shared" si="3"/>
        <v>-2370264</v>
      </c>
      <c r="D35" s="11">
        <f t="shared" si="3"/>
        <v>-1251182</v>
      </c>
      <c r="E35" s="44">
        <f t="shared" si="3"/>
        <v>-1890372</v>
      </c>
      <c r="F35" s="11">
        <f t="shared" si="3"/>
        <v>0</v>
      </c>
      <c r="G35" s="11">
        <f t="shared" si="3"/>
        <v>0</v>
      </c>
      <c r="H35" s="11">
        <f t="shared" si="3"/>
        <v>6215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2.88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17899.2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59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37125</v>
      </c>
      <c r="F39" s="47"/>
      <c r="G39" s="47"/>
      <c r="H39" s="137">
        <f>+H38+H37</f>
        <v>478734.57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37125</v>
      </c>
      <c r="E47" s="379">
        <f>+H35</f>
        <v>6215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117451</v>
      </c>
      <c r="F48" s="11"/>
      <c r="G48" s="11"/>
      <c r="H48" s="11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4" workbookViewId="3">
      <selection activeCell="B27" sqref="B27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f>-306663-500</f>
        <v>-307163</v>
      </c>
      <c r="E5" s="11">
        <v>-308597</v>
      </c>
      <c r="F5" s="11"/>
      <c r="G5" s="11"/>
      <c r="H5" s="24">
        <f>+E5-D5+C5-B5</f>
        <v>-1434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29">
        <f>-256855-500</f>
        <v>-257355</v>
      </c>
      <c r="E6" s="11">
        <v>-261199</v>
      </c>
      <c r="F6" s="11"/>
      <c r="G6" s="11"/>
      <c r="H6" s="24">
        <f t="shared" ref="H6:H35" si="0">+E6-D6+C6-B6</f>
        <v>-3844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/>
      <c r="C7" s="129"/>
      <c r="D7" s="129">
        <f>-279637-500</f>
        <v>-280137</v>
      </c>
      <c r="E7" s="129">
        <v>-280376</v>
      </c>
      <c r="F7" s="11"/>
      <c r="G7" s="11"/>
      <c r="H7" s="24">
        <f t="shared" si="0"/>
        <v>-239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f>-263561-500</f>
        <v>-264061</v>
      </c>
      <c r="E8" s="129">
        <v>-267286</v>
      </c>
      <c r="F8" s="11"/>
      <c r="G8" s="11"/>
      <c r="H8" s="24">
        <f t="shared" si="0"/>
        <v>-3225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f>-239483-500</f>
        <v>-239983</v>
      </c>
      <c r="E9" s="11">
        <v>-241704</v>
      </c>
      <c r="F9" s="11"/>
      <c r="G9" s="11"/>
      <c r="H9" s="24">
        <f t="shared" si="0"/>
        <v>-1721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f>-258498-500</f>
        <v>-258998</v>
      </c>
      <c r="E10" s="11">
        <v>-262660</v>
      </c>
      <c r="F10" s="11"/>
      <c r="G10" s="11"/>
      <c r="H10" s="24">
        <f t="shared" si="0"/>
        <v>-3662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f>-249479-500</f>
        <v>-249979</v>
      </c>
      <c r="E11" s="11">
        <v>-254013</v>
      </c>
      <c r="F11" s="11"/>
      <c r="G11" s="11"/>
      <c r="H11" s="24">
        <f t="shared" si="0"/>
        <v>-4034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>
        <f>-272276-500</f>
        <v>-272776</v>
      </c>
      <c r="E12" s="11">
        <v>-274969</v>
      </c>
      <c r="F12" s="11"/>
      <c r="G12" s="11"/>
      <c r="H12" s="24">
        <f t="shared" si="0"/>
        <v>-2193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f>-266075-500</f>
        <v>-266575</v>
      </c>
      <c r="E13" s="11">
        <v>-268577</v>
      </c>
      <c r="F13" s="11"/>
      <c r="G13" s="11"/>
      <c r="H13" s="24">
        <f t="shared" si="0"/>
        <v>-2002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f>-278307-500</f>
        <v>-278807</v>
      </c>
      <c r="E14" s="11">
        <v>-283415</v>
      </c>
      <c r="F14" s="11"/>
      <c r="G14" s="11"/>
      <c r="H14" s="24">
        <f t="shared" si="0"/>
        <v>-4608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f>-287669-500</f>
        <v>-288169</v>
      </c>
      <c r="E15" s="11">
        <v>-288213</v>
      </c>
      <c r="F15" s="11"/>
      <c r="G15" s="11"/>
      <c r="H15" s="24">
        <f t="shared" si="0"/>
        <v>-44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f>-273937-500</f>
        <v>-274437</v>
      </c>
      <c r="E16" s="11">
        <v>-275351</v>
      </c>
      <c r="F16" s="11"/>
      <c r="G16" s="11"/>
      <c r="H16" s="24">
        <f t="shared" si="0"/>
        <v>-914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f>-286926-500</f>
        <v>-287426</v>
      </c>
      <c r="E17" s="11">
        <v>-288307</v>
      </c>
      <c r="F17" s="11"/>
      <c r="G17" s="11"/>
      <c r="H17" s="24">
        <f t="shared" si="0"/>
        <v>-881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f>-240327-500-500</f>
        <v>-241327</v>
      </c>
      <c r="E18" s="11">
        <v>-241208</v>
      </c>
      <c r="F18" s="11"/>
      <c r="G18" s="11"/>
      <c r="H18" s="24">
        <f t="shared" si="0"/>
        <v>119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f>-274050-500-500</f>
        <v>-275050</v>
      </c>
      <c r="E19" s="11">
        <v>-274559</v>
      </c>
      <c r="F19" s="11"/>
      <c r="G19" s="11"/>
      <c r="H19" s="24">
        <f t="shared" si="0"/>
        <v>491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f>-302256-500-500</f>
        <v>-303256</v>
      </c>
      <c r="E20" s="11">
        <v>-310176</v>
      </c>
      <c r="F20" s="11"/>
      <c r="G20" s="11"/>
      <c r="H20" s="24">
        <f t="shared" si="0"/>
        <v>-6920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f>-290427-500-500</f>
        <v>-291427</v>
      </c>
      <c r="E21" s="11">
        <v>-283120</v>
      </c>
      <c r="F21" s="11"/>
      <c r="G21" s="11"/>
      <c r="H21" s="24">
        <f t="shared" si="0"/>
        <v>8307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>
        <f>-297326-500-500</f>
        <v>-298326</v>
      </c>
      <c r="E22" s="11">
        <v>-310274</v>
      </c>
      <c r="F22" s="11"/>
      <c r="G22" s="11"/>
      <c r="H22" s="24">
        <f t="shared" si="0"/>
        <v>-11948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f>-275043-750-250</f>
        <v>-276043</v>
      </c>
      <c r="E23" s="11">
        <v>-306032</v>
      </c>
      <c r="F23" s="11"/>
      <c r="G23" s="11"/>
      <c r="H23" s="24">
        <f t="shared" si="0"/>
        <v>-29989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>
        <f>-301972-750-250</f>
        <v>-302972</v>
      </c>
      <c r="E24" s="11">
        <v>-325596</v>
      </c>
      <c r="F24" s="11"/>
      <c r="G24" s="11"/>
      <c r="H24" s="24">
        <f t="shared" si="0"/>
        <v>-22624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v>-313689</v>
      </c>
      <c r="E25" s="11">
        <v>-296501</v>
      </c>
      <c r="F25" s="11"/>
      <c r="G25" s="11"/>
      <c r="H25" s="24">
        <f t="shared" si="0"/>
        <v>17188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>
        <v>113</v>
      </c>
      <c r="C26" s="11"/>
      <c r="D26" s="11">
        <v>-323768</v>
      </c>
      <c r="E26" s="11">
        <v>-331407</v>
      </c>
      <c r="F26" s="11"/>
      <c r="G26" s="11"/>
      <c r="H26" s="24">
        <f t="shared" si="0"/>
        <v>-7752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113</v>
      </c>
      <c r="C36" s="11">
        <f t="shared" si="15"/>
        <v>0</v>
      </c>
      <c r="D36" s="11">
        <f t="shared" si="15"/>
        <v>-6151724</v>
      </c>
      <c r="E36" s="11">
        <f t="shared" si="15"/>
        <v>-6233540</v>
      </c>
      <c r="F36" s="11">
        <f t="shared" si="15"/>
        <v>0</v>
      </c>
      <c r="G36" s="11">
        <f t="shared" si="15"/>
        <v>0</v>
      </c>
      <c r="H36" s="11">
        <f t="shared" si="15"/>
        <v>-81929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-113</v>
      </c>
      <c r="E37" s="25">
        <f>+E36-D36</f>
        <v>-81816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37103</v>
      </c>
      <c r="B38" s="2" t="s">
        <v>46</v>
      </c>
      <c r="C38" s="445">
        <v>64269</v>
      </c>
      <c r="D38" s="338"/>
      <c r="E38" s="446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37125</v>
      </c>
      <c r="B39" s="2" t="s">
        <v>46</v>
      </c>
      <c r="C39" s="131">
        <f>+C38+C37</f>
        <v>64156</v>
      </c>
      <c r="D39" s="259"/>
      <c r="E39" s="131">
        <f>+E38+E37</f>
        <v>-54220</v>
      </c>
      <c r="F39" s="259"/>
      <c r="G39" s="131"/>
      <c r="H39" s="131">
        <f>+H38+H36</f>
        <v>9936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v>37103</v>
      </c>
      <c r="B44" s="32"/>
      <c r="C44" s="447">
        <v>-1582961</v>
      </c>
      <c r="D44" s="207"/>
      <c r="E44" s="448">
        <v>1186736.6200000001</v>
      </c>
      <c r="F44" s="47">
        <f>+E44+C44</f>
        <v>-396224.37999999989</v>
      </c>
      <c r="G44" s="252"/>
      <c r="H44" s="412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37125</v>
      </c>
      <c r="B45" s="32"/>
      <c r="C45" s="47">
        <f>+C37*summary!H4</f>
        <v>-325.44</v>
      </c>
      <c r="D45" s="207"/>
      <c r="E45" s="410">
        <f>+E37*summary!H3</f>
        <v>-220085.04</v>
      </c>
      <c r="F45" s="47">
        <f>+E45+C45</f>
        <v>-220410.48</v>
      </c>
      <c r="G45" s="252"/>
      <c r="H45" s="412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-1583286.44</v>
      </c>
      <c r="D46" s="207"/>
      <c r="E46" s="410">
        <f>+E45+E44</f>
        <v>966651.58000000007</v>
      </c>
      <c r="F46" s="47">
        <f>+E46+C46</f>
        <v>-616634.85999999987</v>
      </c>
      <c r="G46" s="252"/>
      <c r="H46" s="412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410"/>
      <c r="D47" s="410"/>
      <c r="E47" s="410"/>
      <c r="F47" s="47"/>
      <c r="G47" s="252"/>
      <c r="H47" s="412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24" sqref="C24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5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>
        <v>120413</v>
      </c>
      <c r="C18" s="11">
        <v>125960</v>
      </c>
      <c r="D18" s="25">
        <f t="shared" si="0"/>
        <v>5547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>
        <v>113885</v>
      </c>
      <c r="C19" s="11">
        <v>111354</v>
      </c>
      <c r="D19" s="25">
        <f t="shared" si="0"/>
        <v>-2531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>
        <v>116049</v>
      </c>
      <c r="C20" s="11">
        <v>114316</v>
      </c>
      <c r="D20" s="25">
        <f t="shared" si="0"/>
        <v>-1733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>
        <v>112428</v>
      </c>
      <c r="C21" s="11">
        <v>116998</v>
      </c>
      <c r="D21" s="25">
        <f t="shared" si="0"/>
        <v>4570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>
        <v>107540</v>
      </c>
      <c r="C22" s="11">
        <v>109346</v>
      </c>
      <c r="D22" s="25">
        <f t="shared" si="0"/>
        <v>1806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>
        <v>103802</v>
      </c>
      <c r="C23" s="11">
        <v>104079</v>
      </c>
      <c r="D23" s="25">
        <f t="shared" si="0"/>
        <v>277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>
        <v>93807</v>
      </c>
      <c r="C24" s="11">
        <v>102057</v>
      </c>
      <c r="D24" s="25">
        <f t="shared" si="0"/>
        <v>8250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>
        <v>92618</v>
      </c>
      <c r="C25" s="11">
        <v>90965</v>
      </c>
      <c r="D25" s="25">
        <f t="shared" si="0"/>
        <v>-1653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>
        <v>103978</v>
      </c>
      <c r="C26" s="11">
        <v>103248</v>
      </c>
      <c r="D26" s="25">
        <f t="shared" si="0"/>
        <v>-730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>
        <v>136225</v>
      </c>
      <c r="C27" s="11">
        <v>140467</v>
      </c>
      <c r="D27" s="25">
        <f t="shared" si="0"/>
        <v>4242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2434721</v>
      </c>
      <c r="C37" s="11">
        <f>SUM(C6:C36)</f>
        <v>2482358</v>
      </c>
      <c r="D37" s="11">
        <f>SUM(D6:D36)</f>
        <v>47637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5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5">
      <c r="A40" s="57">
        <v>37126</v>
      </c>
      <c r="C40" s="48"/>
      <c r="D40" s="25">
        <f>+D39+D37</f>
        <v>102520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5">
      <c r="C41" s="47"/>
      <c r="H41" s="250"/>
      <c r="I41" s="250"/>
      <c r="J41" s="250"/>
      <c r="K41" s="250"/>
      <c r="L41" s="250"/>
    </row>
    <row r="42" spans="1:16" x14ac:dyDescent="0.25">
      <c r="A42" s="57"/>
      <c r="C42" s="50"/>
      <c r="D42" s="25"/>
      <c r="H42" s="250"/>
      <c r="I42" s="250"/>
      <c r="J42" s="250"/>
      <c r="K42" s="250"/>
      <c r="L42" s="250"/>
    </row>
    <row r="43" spans="1:16" x14ac:dyDescent="0.25">
      <c r="A43" s="57"/>
      <c r="C43" s="50"/>
      <c r="H43" s="250"/>
      <c r="I43" s="250"/>
      <c r="J43" s="250"/>
      <c r="K43" s="250"/>
      <c r="L43" s="250"/>
    </row>
    <row r="44" spans="1:16" x14ac:dyDescent="0.25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5">
      <c r="A45" s="49">
        <f>+A39</f>
        <v>37103</v>
      </c>
      <c r="B45" s="32"/>
      <c r="C45" s="32"/>
      <c r="D45" s="202">
        <v>411751.53</v>
      </c>
    </row>
    <row r="46" spans="1:16" x14ac:dyDescent="0.25">
      <c r="A46" s="49">
        <f>+A40</f>
        <v>37126</v>
      </c>
      <c r="B46" s="32"/>
      <c r="C46" s="32"/>
      <c r="D46" s="408">
        <f>+D37*'by type'!J3</f>
        <v>128143.53</v>
      </c>
    </row>
    <row r="47" spans="1:16" x14ac:dyDescent="0.25">
      <c r="A47" s="32"/>
      <c r="B47" s="32"/>
      <c r="C47" s="32"/>
      <c r="D47" s="202">
        <f>+D46+D45</f>
        <v>539895.06000000006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2001-08-22T22:06:39Z</cp:lastPrinted>
  <dcterms:created xsi:type="dcterms:W3CDTF">2000-03-28T16:52:23Z</dcterms:created>
  <dcterms:modified xsi:type="dcterms:W3CDTF">2023-09-10T12:02:44Z</dcterms:modified>
</cp:coreProperties>
</file>