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B7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<sst xmlns="http://schemas.openxmlformats.org/spreadsheetml/2006/main" count="1013" uniqueCount="315">
  <si>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</si>
  <si>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</si>
  <si>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</si>
  <si>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</si>
  <si>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</si>
  <si>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</si>
  <si>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</si>
  <si>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</si>
  <si>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</si>
  <si>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</si>
  <si>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</si>
  <si>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</si>
  <si>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</si>
  <si>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</si>
  <si>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</si>
  <si>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</si>
  <si>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</si>
  <si>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</si>
  <si>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</si>
  <si>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</si>
  <si>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</si>
  <si>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</si>
  <si>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</si>
  <si>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</si>
  <si>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</si>
  <si>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</si>
  <si>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</si>
  <si>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</si>
  <si>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</si>
  <si>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</si>
  <si>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</si>
  <si>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</si>
  <si>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</si>
  <si>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</si>
  <si>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</si>
  <si>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</si>
  <si>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</si>
  <si>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</si>
  <si>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</si>
  <si>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</si>
  <si>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</si>
  <si>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</si>
  <si>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</si>
  <si>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</si>
  <si>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</si>
  <si>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</si>
  <si>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</si>
  <si>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</si>
  <si>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</si>
  <si>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</si>
  <si>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</si>
  <si>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</si>
  <si>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</si>
  <si>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</si>
  <si>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</si>
  <si>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</si>
  <si>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</si>
  <si>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</si>
  <si>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</si>
  <si>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</si>
  <si>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</si>
  <si>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</si>
  <si>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</si>
  <si>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</si>
  <si>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</si>
  <si>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</si>
  <si>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</si>
  <si>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</si>
  <si>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</si>
  <si>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</si>
  <si>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</si>
  <si>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</si>
  <si>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</si>
  <si>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</si>
  <si>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</si>
  <si>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</si>
  <si>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</si>
  <si>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</si>
  <si>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</si>
  <si>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</si>
  <si>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</si>
  <si>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</si>
  <si>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</si>
  <si>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</si>
  <si>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</si>
  <si>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</si>
  <si>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</si>
  <si>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</si>
  <si>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</si>
  <si>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</si>
  <si>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</si>
  <si>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</si>
  <si>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</si>
  <si>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</si>
  <si>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</si>
  <si>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</si>
  <si>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</si>
  <si>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</si>
  <si>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</si>
  <si>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</si>
  <si>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</si>
  <si>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</si>
  <si>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</si>
  <si>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</si>
  <si>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</si>
  <si>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</si>
  <si>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</si>
  <si>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</si>
  <si>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</si>
  <si>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</si>
  <si>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</si>
  <si>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</si>
  <si>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</si>
  <si>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</si>
  <si>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</si>
  <si>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</si>
  <si>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</si>
  <si>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</si>
  <si>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</si>
  <si>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</si>
  <si>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</si>
  <si>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</si>
  <si>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</si>
  <si>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</si>
  <si>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</si>
  <si>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</si>
  <si>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</si>
  <si>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</si>
  <si>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</si>
  <si>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</si>
  <si>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</si>
  <si>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</si>
  <si>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</si>
  <si>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</si>
  <si>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</si>
  <si>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</si>
  <si>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</si>
  <si>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</si>
  <si>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</si>
  <si>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</si>
  <si>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</si>
  <si>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</si>
  <si>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</si>
  <si>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</si>
  <si>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</si>
  <si>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</si>
  <si>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</si>
  <si>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</si>
  <si>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</si>
  <si>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</si>
  <si>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</si>
  <si>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</si>
  <si>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</si>
  <si>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</si>
  <si>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</si>
  <si>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</si>
  <si>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</si>
  <si>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</si>
  <si>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</si>
  <si>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</si>
  <si>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</si>
  <si>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</si>
  <si>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</si>
  <si>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</si>
  <si>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</si>
  <si>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</si>
  <si>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</si>
  <si>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</si>
  <si>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</si>
  <si>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</si>
  <si>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</si>
  <si>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</si>
  <si>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</si>
  <si>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</si>
  <si>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</si>
  <si>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</si>
  <si>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</si>
  <si>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</si>
  <si>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</si>
  <si>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</si>
  <si>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</si>
  <si>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</si>
  <si>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</si>
  <si>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</si>
  <si>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</si>
  <si>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</si>
  <si>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</si>
  <si>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</si>
  <si>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</si>
  <si>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</si>
  <si>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</si>
  <si>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</si>
  <si>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</si>
  <si>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</si>
  <si>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</si>
  <si>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</si>
  <si>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</si>
  <si>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</si>
  <si>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</si>
  <si>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</si>
  <si>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</si>
  <si>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</si>
  <si>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</si>
  <si>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</si>
  <si>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</si>
  <si>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</si>
  <si>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</si>
  <si>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</si>
  <si>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</si>
  <si>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</si>
  <si>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</si>
  <si>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</si>
  <si>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</si>
  <si>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</si>
  <si>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</si>
  <si>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</si>
  <si>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</si>
  <si>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</si>
  <si>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</si>
  <si>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</si>
  <si>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</si>
  <si>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</si>
  <si>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</si>
  <si>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</si>
  <si>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</si>
  <si>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</si>
  <si>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</si>
  <si>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</si>
  <si>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</si>
  <si>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</si>
  <si>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</si>
  <si>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</si>
  <si>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</si>
  <si>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</si>
  <si>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</si>
  <si>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</si>
  <si>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</si>
  <si>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</si>
  <si>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</si>
  <si>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</si>
  <si>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</si>
  <si>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</si>
  <si>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</si>
  <si>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</si>
  <si>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</si>
  <si>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</si>
  <si>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</si>
  <si>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</si>
  <si>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</si>
  <si>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</si>
  <si>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</si>
  <si>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</si>
  <si>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</si>
  <si>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</si>
  <si>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</si>
  <si>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</si>
  <si>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</si>
  <si>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</si>
  <si>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</si>
  <si>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</si>
  <si>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</si>
  <si>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</si>
  <si>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</si>
  <si>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</si>
  <si>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</si>
  <si>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</si>
  <si>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</si>
  <si>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</si>
  <si>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</si>
  <si>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</si>
  <si>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</si>
  <si>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</si>
  <si>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</si>
  <si>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</si>
  <si>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</si>
  <si>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</si>
  <si>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</si>
  <si>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</si>
  <si>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</si>
  <si>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</si>
  <si>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</si>
  <si>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</si>
  <si>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</si>
  <si>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</si>
  <si>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</si>
  <si>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</si>
  <si>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</si>
  <si>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</si>
  <si>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</si>
  <si>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</si>
  <si>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</si>
  <si>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</si>
  <si>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</si>
  <si>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</si>
  <si>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</si>
  <si>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</si>
  <si>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</si>
  <si>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</si>
  <si>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</si>
  <si>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</si>
  <si>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</si>
  <si>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</si>
  <si>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</si>
  <si>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</si>
  <si>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</si>
  <si>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</si>
  <si>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</si>
  <si>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</si>
  <si>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</si>
  <si>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</si>
  <si>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</si>
  <si>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</si>
  <si>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</si>
  <si>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</si>
  <si>
    <t>invoiced ending 1/31 balance $146k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</si>
</sst>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166" fontId="22" fillId="7" borderId="0" xfId="1" applyNumberFormat="1" applyFont="1" applyFill="1"/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5" fontId="33" fillId="7" borderId="1" xfId="0" applyNumberFormat="1" applyFont="1" applyFill="1" applyBorder="1"/>
    <xf numFmtId="166" fontId="9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64" workbookViewId="0">
      <selection activeCell="D80" sqref="D80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2.06</v>
      </c>
      <c r="H3" s="401">
        <f ca="1">NOW()</f>
        <v>37300.614893634258</v>
      </c>
    </row>
    <row r="4" spans="1:32" ht="12.9" customHeight="1" x14ac:dyDescent="0.25">
      <c r="A4" s="34" t="s">
        <v>145</v>
      </c>
      <c r="C4" s="34" t="s">
        <v>5</v>
      </c>
      <c r="D4" s="7"/>
      <c r="F4" s="384" t="s">
        <v>30</v>
      </c>
      <c r="G4" s="386">
        <f>+summary!G4</f>
        <v>2.0499999999999998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2.06</v>
      </c>
      <c r="H5" s="32"/>
    </row>
    <row r="6" spans="1:32" ht="6.9" customHeight="1" x14ac:dyDescent="0.25"/>
    <row r="7" spans="1:32" ht="12.9" customHeight="1" x14ac:dyDescent="0.25">
      <c r="A7" s="399" t="s">
        <v>163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155</v>
      </c>
    </row>
    <row r="12" spans="1:32" ht="13.5" customHeight="1" outlineLevel="1" x14ac:dyDescent="0.25">
      <c r="A12" s="501" t="s">
        <v>127</v>
      </c>
      <c r="B12" s="345">
        <f>+Calpine!D41</f>
        <v>47344.899999999994</v>
      </c>
      <c r="C12" s="368">
        <f>+B12/$G$4</f>
        <v>23095.073170731706</v>
      </c>
      <c r="D12" s="14">
        <f>+Calpine!D47</f>
        <v>110210</v>
      </c>
      <c r="E12" s="70">
        <f>+C12-D12</f>
        <v>-87114.926829268297</v>
      </c>
      <c r="F12" s="363">
        <f>+Calpine!A41</f>
        <v>37298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345">
        <f>+'Citizens-Griffith'!D41</f>
        <v>72870.849999999991</v>
      </c>
      <c r="C13" s="367">
        <f>+B13/$G$4</f>
        <v>35546.756097560974</v>
      </c>
      <c r="D13" s="14">
        <f>+'Citizens-Griffith'!D48</f>
        <v>38963</v>
      </c>
      <c r="E13" s="70">
        <f>+C13-D13</f>
        <v>-3416.243902439026</v>
      </c>
      <c r="F13" s="363">
        <f>+'Citizens-Griffith'!A41</f>
        <v>37298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278</v>
      </c>
      <c r="B14" s="478">
        <f>+SWGasTrans!D41</f>
        <v>-26328.42</v>
      </c>
      <c r="C14" s="367">
        <f>+B14/G4</f>
        <v>-12843.131707317074</v>
      </c>
      <c r="D14" s="14">
        <f>+SWGasTrans!$D$48</f>
        <v>403</v>
      </c>
      <c r="E14" s="70">
        <f>+C14-D14</f>
        <v>-13246.131707317074</v>
      </c>
      <c r="F14" s="363">
        <f>+SWGasTrans!A41</f>
        <v>37298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-279253.90000000002</v>
      </c>
      <c r="C15" s="367">
        <f>+B15/$G$4</f>
        <v>-136221.41463414638</v>
      </c>
      <c r="D15" s="14">
        <f>+'NS Steel'!D50</f>
        <v>-7722</v>
      </c>
      <c r="E15" s="70">
        <f>+C15-D15</f>
        <v>-128499.41463414638</v>
      </c>
      <c r="F15" s="364">
        <f>+'NS Steel'!A41</f>
        <v>37298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1" t="s">
        <v>135</v>
      </c>
      <c r="B16" s="348">
        <f>+Citizens!D18</f>
        <v>-550915.94000000006</v>
      </c>
      <c r="C16" s="369">
        <f>+B16/$G$4</f>
        <v>-268739.48292682931</v>
      </c>
      <c r="D16" s="349">
        <f>+Citizens!D24</f>
        <v>-43206</v>
      </c>
      <c r="E16" s="72">
        <f>+C16-D16</f>
        <v>-225533.48292682931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7">
        <f>SUBTOTAL(9,B12:B16)</f>
        <v>-736282.51000000013</v>
      </c>
      <c r="C17" s="392">
        <f>SUBTOTAL(9,C12:C16)</f>
        <v>-359162.20000000007</v>
      </c>
      <c r="D17" s="393">
        <f>SUBTOTAL(9,D12:D16)</f>
        <v>98648</v>
      </c>
      <c r="E17" s="394">
        <f>SUBTOTAL(9,E12:E16)</f>
        <v>-457810.20000000007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479">
        <f>+transcol!$D$43</f>
        <v>26188.35</v>
      </c>
      <c r="C20" s="367">
        <f>+B20/$G$4</f>
        <v>12774.804878048781</v>
      </c>
      <c r="D20" s="14">
        <f>+transcol!D50</f>
        <v>-43373</v>
      </c>
      <c r="E20" s="70">
        <f>+C20-D20</f>
        <v>56147.804878048781</v>
      </c>
      <c r="F20" s="364">
        <f>+transcol!A43</f>
        <v>37296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1" t="s">
        <v>290</v>
      </c>
      <c r="B21" s="479">
        <f>+C21*G3</f>
        <v>-26059</v>
      </c>
      <c r="C21" s="367">
        <f>+williams!J40</f>
        <v>-12650</v>
      </c>
      <c r="D21" s="14">
        <f>+C21</f>
        <v>-12650</v>
      </c>
      <c r="E21" s="70">
        <f>+C21-D21</f>
        <v>0</v>
      </c>
      <c r="F21" s="364">
        <f>+williams!A40</f>
        <v>37297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5">
      <c r="A22" s="501" t="s">
        <v>95</v>
      </c>
      <c r="B22" s="493">
        <f>+burlington!D42</f>
        <v>-63193.96</v>
      </c>
      <c r="C22" s="371">
        <f>+B22/$G$3</f>
        <v>-30676.679611650485</v>
      </c>
      <c r="D22" s="349">
        <f>+burlington!D49</f>
        <v>-30533</v>
      </c>
      <c r="E22" s="72">
        <f>+C22-D22</f>
        <v>-143.67961165048473</v>
      </c>
      <c r="F22" s="363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7">
        <f>SUBTOTAL(9,B20:B22)</f>
        <v>-63064.61</v>
      </c>
      <c r="C23" s="388">
        <f>SUBTOTAL(9,C20:C22)</f>
        <v>-30551.874733601704</v>
      </c>
      <c r="D23" s="393">
        <f>SUBTOTAL(9,D20:D22)</f>
        <v>-86556</v>
      </c>
      <c r="E23" s="394">
        <f>SUBTOTAL(9,E20:E22)</f>
        <v>56004.125266398296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501" t="s">
        <v>87</v>
      </c>
      <c r="B26" s="478">
        <f>+NNG!$D$24</f>
        <v>34054.67</v>
      </c>
      <c r="C26" s="367">
        <f>+B26/$G$4</f>
        <v>16612.034146341462</v>
      </c>
      <c r="D26" s="14">
        <f>+NNG!D34</f>
        <v>15838</v>
      </c>
      <c r="E26" s="70">
        <f t="shared" ref="E26:E48" si="0">+C26-D26</f>
        <v>774.03414634146247</v>
      </c>
      <c r="F26" s="363">
        <f>+NNG!A24</f>
        <v>37298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78">
        <f>+Conoco!$F$41</f>
        <v>446792.8</v>
      </c>
      <c r="C27" s="367">
        <f>+B27/$G$4</f>
        <v>217947.70731707319</v>
      </c>
      <c r="D27" s="14">
        <f>+Conoco!D48</f>
        <v>11379</v>
      </c>
      <c r="E27" s="70">
        <f t="shared" si="0"/>
        <v>206568.70731707319</v>
      </c>
      <c r="F27" s="363">
        <f>+Conoco!A41</f>
        <v>37298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5">
        <f>+'Amoco Abo'!$F$43</f>
        <v>162224.28</v>
      </c>
      <c r="C28" s="367">
        <f>+B28/$G$4</f>
        <v>79133.795121951232</v>
      </c>
      <c r="D28" s="14">
        <f>+'Amoco Abo'!D49</f>
        <v>-363486</v>
      </c>
      <c r="E28" s="70">
        <f t="shared" si="0"/>
        <v>442619.79512195126</v>
      </c>
      <c r="F28" s="364">
        <f>+'Amoco Abo'!A43</f>
        <v>37298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78">
        <f>+KN_Westar!F41</f>
        <v>329520.2</v>
      </c>
      <c r="C29" s="367">
        <f>+B29/$G$4</f>
        <v>160741.56097560978</v>
      </c>
      <c r="D29" s="14">
        <f>+KN_Westar!D48</f>
        <v>-36982</v>
      </c>
      <c r="E29" s="70">
        <f t="shared" si="0"/>
        <v>197723.56097560978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1" t="s">
        <v>248</v>
      </c>
      <c r="B30" s="478">
        <f>+summary!B41</f>
        <v>-550915.94000000006</v>
      </c>
      <c r="C30" s="368">
        <f>+B30/$G$5</f>
        <v>-267434.92233009712</v>
      </c>
      <c r="D30" s="14">
        <f>+DEFS!$I$36+DEFS!$J$36+DEFS!$K$45+DEFS!$K$46+DEFS!$K$47+DEFS!$K$48</f>
        <v>-453408</v>
      </c>
      <c r="E30" s="70">
        <f t="shared" si="0"/>
        <v>185973.07766990288</v>
      </c>
      <c r="F30" s="364">
        <f>+DEFS!A40</f>
        <v>37298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478">
        <f>+mewborne!$J$43</f>
        <v>328524.95</v>
      </c>
      <c r="C31" s="367">
        <f>+B31/$G$4</f>
        <v>160256.07317073172</v>
      </c>
      <c r="D31" s="14">
        <f>+mewborne!D49</f>
        <v>129198</v>
      </c>
      <c r="E31" s="70">
        <f t="shared" si="0"/>
        <v>31058.073170731717</v>
      </c>
      <c r="F31" s="364">
        <f>+mewborne!A43</f>
        <v>37298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147</v>
      </c>
      <c r="B32" s="478">
        <f>+PGETX!$H$39</f>
        <v>13077.3</v>
      </c>
      <c r="C32" s="367">
        <f>+B32/$G$4</f>
        <v>6379.1707317073169</v>
      </c>
      <c r="D32" s="14">
        <f>+PGETX!E48</f>
        <v>34042</v>
      </c>
      <c r="E32" s="70">
        <f t="shared" si="0"/>
        <v>-27662.829268292684</v>
      </c>
      <c r="F32" s="364">
        <f>+PGETX!E39</f>
        <v>37296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5">
      <c r="A33" s="248" t="s">
        <v>82</v>
      </c>
      <c r="B33" s="345">
        <f>+PNM!$D$23</f>
        <v>894310.44</v>
      </c>
      <c r="C33" s="367">
        <f>+B33/$G$4</f>
        <v>436248.99512195121</v>
      </c>
      <c r="D33" s="14">
        <f>+PNM!D30</f>
        <v>368985</v>
      </c>
      <c r="E33" s="70">
        <f t="shared" si="0"/>
        <v>67263.995121951215</v>
      </c>
      <c r="F33" s="364">
        <f>+PNM!A23</f>
        <v>37298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478">
        <f>+EOG!J41</f>
        <v>30994.91</v>
      </c>
      <c r="C34" s="367">
        <f>+B34/$G$4</f>
        <v>15119.468292682928</v>
      </c>
      <c r="D34" s="14">
        <f>+EOG!D48</f>
        <v>-112732</v>
      </c>
      <c r="E34" s="70">
        <f t="shared" si="0"/>
        <v>127851.46829268293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345">
        <f>+Oasis!D40</f>
        <v>14315.47</v>
      </c>
      <c r="C35" s="367">
        <f>+B35/G5</f>
        <v>6949.2572815533977</v>
      </c>
      <c r="D35" s="14">
        <f>+Oasis!D47</f>
        <v>4758</v>
      </c>
      <c r="E35" s="70">
        <f>+C35-D35</f>
        <v>2191.2572815533977</v>
      </c>
      <c r="F35" s="363">
        <f>+Oasis!A40</f>
        <v>37298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478">
        <f>+SidR!D41</f>
        <v>10238.459999999999</v>
      </c>
      <c r="C36" s="367">
        <f>+B36/$G$5</f>
        <v>4970.1262135922325</v>
      </c>
      <c r="D36" s="14">
        <f>+SidR!D48</f>
        <v>4766</v>
      </c>
      <c r="E36" s="70">
        <f t="shared" si="0"/>
        <v>204.12621359223249</v>
      </c>
      <c r="F36" s="364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5">
      <c r="A37" s="501" t="s">
        <v>258</v>
      </c>
      <c r="B37" s="345">
        <f>+summary!$B$44</f>
        <v>-133309.54</v>
      </c>
      <c r="C37" s="367">
        <f>+summary!$C$44</f>
        <v>-65029.043902439036</v>
      </c>
      <c r="D37" s="14">
        <f>+MiVida_Rich!D48</f>
        <v>-45949</v>
      </c>
      <c r="E37" s="70">
        <f>+C37-D37</f>
        <v>-19080.043902439036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207</v>
      </c>
      <c r="B38" s="345">
        <f>+Dominion!D41</f>
        <v>173931.88</v>
      </c>
      <c r="C38" s="367">
        <f>+B38/$G$5</f>
        <v>84432.951456310679</v>
      </c>
      <c r="D38" s="14">
        <f>+Dominion!D48</f>
        <v>76069</v>
      </c>
      <c r="E38" s="70">
        <f t="shared" si="0"/>
        <v>8363.9514563106786</v>
      </c>
      <c r="F38" s="364">
        <f>+Dominion!A41</f>
        <v>37298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204</v>
      </c>
      <c r="B39" s="345">
        <f>+WTGmktg!J43</f>
        <v>-34633.42</v>
      </c>
      <c r="C39" s="367">
        <f>+B39/$G$4</f>
        <v>-16894.351219512195</v>
      </c>
      <c r="D39" s="14">
        <f>+WTGmktg!D50</f>
        <v>-2980</v>
      </c>
      <c r="E39" s="70">
        <f t="shared" si="0"/>
        <v>-13914.351219512195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281</v>
      </c>
      <c r="B40" s="345">
        <f>+'WTG inc'!N43</f>
        <v>23978.959999999999</v>
      </c>
      <c r="C40" s="367">
        <f>+B40/G4</f>
        <v>11697.053658536586</v>
      </c>
      <c r="D40" s="14">
        <f>+'WTG inc'!D50</f>
        <v>7966</v>
      </c>
      <c r="E40" s="70">
        <f>+C40-D40</f>
        <v>3731.0536585365862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208</v>
      </c>
      <c r="B41" s="345">
        <f>+Devon!D41</f>
        <v>-14094.52</v>
      </c>
      <c r="C41" s="367">
        <f>+B41/$G$5</f>
        <v>-6842</v>
      </c>
      <c r="D41" s="14">
        <f>+Devon!D48</f>
        <v>-6842</v>
      </c>
      <c r="E41" s="70">
        <f t="shared" si="0"/>
        <v>0</v>
      </c>
      <c r="F41" s="364">
        <f>+Devon!A41</f>
        <v>37297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217</v>
      </c>
      <c r="B42" s="345">
        <f>+crosstex!F41</f>
        <v>-133309.54</v>
      </c>
      <c r="C42" s="367">
        <f>+B42/$G$4</f>
        <v>-65029.043902439036</v>
      </c>
      <c r="D42" s="14">
        <f>+crosstex!D48</f>
        <v>-41022</v>
      </c>
      <c r="E42" s="70">
        <f t="shared" si="0"/>
        <v>-24007.043902439036</v>
      </c>
      <c r="F42" s="364">
        <f>+crosstex!A41</f>
        <v>37298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218</v>
      </c>
      <c r="B43" s="345">
        <f>+Amarillo!P41</f>
        <v>91858.28</v>
      </c>
      <c r="C43" s="367">
        <f>+B43/$G$4</f>
        <v>44808.917073170735</v>
      </c>
      <c r="D43" s="14">
        <f>+Amarillo!D48</f>
        <v>38061</v>
      </c>
      <c r="E43" s="70">
        <f t="shared" si="0"/>
        <v>6747.9170731707345</v>
      </c>
      <c r="F43" s="364">
        <f>+Amarillo!A41</f>
        <v>37296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296</v>
      </c>
      <c r="B44" s="345">
        <f>+Stratland!$D$41</f>
        <v>48490.31</v>
      </c>
      <c r="C44" s="368">
        <f>+B44/$G$4</f>
        <v>23653.809756097562</v>
      </c>
      <c r="D44" s="14">
        <f>+Stratland!D48</f>
        <v>17403</v>
      </c>
      <c r="E44" s="70">
        <f>+C44-D44</f>
        <v>6250.8097560975621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307</v>
      </c>
      <c r="B45" s="345">
        <f>+Plains!$N$43</f>
        <v>63241.56</v>
      </c>
      <c r="C45" s="368">
        <f>+B45/$G$4</f>
        <v>30849.541463414636</v>
      </c>
      <c r="D45" s="14">
        <f>+Plains!D50</f>
        <v>22284</v>
      </c>
      <c r="E45" s="70">
        <f>+C45-D45</f>
        <v>8565.5414634146364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345">
        <f>+Continental!F43</f>
        <v>44498.090000000004</v>
      </c>
      <c r="C46" s="368">
        <f>+B46/$G$4</f>
        <v>21706.385365853661</v>
      </c>
      <c r="D46" s="14">
        <f>+Continental!D50</f>
        <v>5414</v>
      </c>
      <c r="E46" s="70">
        <f t="shared" si="0"/>
        <v>16292.385365853661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45">
        <f>+EPFS!D41</f>
        <v>135163.5</v>
      </c>
      <c r="C47" s="368">
        <f>+B47/$G$5</f>
        <v>65613.349514563102</v>
      </c>
      <c r="D47" s="14">
        <f>+EPFS!D47</f>
        <v>78857</v>
      </c>
      <c r="E47" s="70">
        <f t="shared" si="0"/>
        <v>-13243.650485436898</v>
      </c>
      <c r="F47" s="363">
        <f>+EPFS!A41</f>
        <v>37298</v>
      </c>
      <c r="G47" s="203" t="s">
        <v>154</v>
      </c>
      <c r="H47" s="32" t="s">
        <v>102</v>
      </c>
      <c r="I47" s="32"/>
      <c r="J47" s="32"/>
      <c r="K47" s="32"/>
    </row>
    <row r="48" spans="1:11" ht="12.9" customHeight="1" x14ac:dyDescent="0.25">
      <c r="A48" s="501" t="s">
        <v>79</v>
      </c>
      <c r="B48" s="493">
        <f>+Agave!$D$24</f>
        <v>119340.64</v>
      </c>
      <c r="C48" s="369">
        <f>+B48/$G$4</f>
        <v>58214.946341463423</v>
      </c>
      <c r="D48" s="349">
        <f>+Agave!D31</f>
        <v>69547</v>
      </c>
      <c r="E48" s="72">
        <f t="shared" si="0"/>
        <v>-11332.053658536577</v>
      </c>
      <c r="F48" s="363">
        <f>+Agave!A24</f>
        <v>37298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87">
        <f>SUBTOTAL(9,B26:B48)</f>
        <v>2098293.7400000002</v>
      </c>
      <c r="C49" s="392">
        <f>SUBTOTAL(9,C26:C48)</f>
        <v>1024105.7816481176</v>
      </c>
      <c r="D49" s="393">
        <f>SUBTOTAL(9,D26:D48)</f>
        <v>-178834</v>
      </c>
      <c r="E49" s="394">
        <f>SUBTOTAL(9,E26:E48)</f>
        <v>1202939.7816481174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87">
        <f>SUBTOTAL(9,B12:B48)</f>
        <v>1298946.6199999994</v>
      </c>
      <c r="C51" s="392">
        <f>SUBTOTAL(9,C12:C48)</f>
        <v>634391.7069145157</v>
      </c>
      <c r="D51" s="393">
        <f>SUBTOTAL(9,D12:D48)</f>
        <v>-166742</v>
      </c>
      <c r="E51" s="394">
        <f>SUBTOTAL(9,E12:E48)</f>
        <v>801133.70691451593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2.06</v>
      </c>
      <c r="H57" s="401">
        <f ca="1">NOW()</f>
        <v>37300.614893634258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F58" s="384" t="s">
        <v>30</v>
      </c>
      <c r="G58" s="386">
        <f>+G4</f>
        <v>2.0499999999999998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2.06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164</v>
      </c>
      <c r="B61" s="400"/>
      <c r="E61" s="12" t="s">
        <v>197</v>
      </c>
    </row>
    <row r="62" spans="1:19" ht="13.5" customHeight="1" outlineLevel="2" x14ac:dyDescent="0.25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155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2">
        <f>+Mojave!D40</f>
        <v>183325</v>
      </c>
      <c r="C66" s="345">
        <f>+B66*$G$4</f>
        <v>375816.24999999994</v>
      </c>
      <c r="D66" s="47">
        <f>+Mojave!D47</f>
        <v>192376.3</v>
      </c>
      <c r="E66" s="47">
        <f>+C66-D66</f>
        <v>183439.94999999995</v>
      </c>
      <c r="F66" s="364">
        <f>+Mojave!A40</f>
        <v>37298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85535</v>
      </c>
      <c r="C67" s="345">
        <f>+B67*$G$4</f>
        <v>175346.74999999997</v>
      </c>
      <c r="D67" s="47">
        <f>+SoCal!D47</f>
        <v>292890.15000000002</v>
      </c>
      <c r="E67" s="47">
        <f>+C67-D67</f>
        <v>-117543.40000000005</v>
      </c>
      <c r="F67" s="364">
        <f>+SoCal!A40</f>
        <v>37298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178</v>
      </c>
      <c r="B68" s="367">
        <f>+'El Paso'!C39</f>
        <v>64269</v>
      </c>
      <c r="C68" s="345">
        <f>+B68*$G$4</f>
        <v>131751.44999999998</v>
      </c>
      <c r="D68" s="47">
        <f>+'El Paso'!C46</f>
        <v>-1582961.01</v>
      </c>
      <c r="E68" s="47">
        <f>+C68-D68</f>
        <v>1714712.46</v>
      </c>
      <c r="F68" s="364">
        <f>+'El Paso'!A39</f>
        <v>37298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39296</v>
      </c>
      <c r="C69" s="348">
        <f>+B69*$G$4</f>
        <v>80556.799999999988</v>
      </c>
      <c r="D69" s="348">
        <f>+'PG&amp;E'!D47</f>
        <v>-121992.3</v>
      </c>
      <c r="E69" s="348">
        <f>+C69-D69</f>
        <v>202549.09999999998</v>
      </c>
      <c r="F69" s="364">
        <f>+'PG&amp;E'!A40</f>
        <v>37298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392">
        <f>SUBTOTAL(9,B66:B69)</f>
        <v>372425</v>
      </c>
      <c r="C70" s="387">
        <f>SUBTOTAL(9,C66:C69)</f>
        <v>763471.24999999977</v>
      </c>
      <c r="D70" s="387">
        <f>SUBTOTAL(9,D66:D69)</f>
        <v>-1219686.8600000001</v>
      </c>
      <c r="E70" s="387">
        <f>SUBTOTAL(9,E66:E69)</f>
        <v>1983158.1099999999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20635</v>
      </c>
      <c r="C73" s="346">
        <f>+B73*G57</f>
        <v>42508.1</v>
      </c>
      <c r="D73" s="200">
        <f>+'Red C'!D52</f>
        <v>414677.98</v>
      </c>
      <c r="E73" s="47">
        <f>+C73-D73</f>
        <v>-372169.88</v>
      </c>
      <c r="F73" s="363">
        <f>+'Red C'!A45</f>
        <v>37298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289</v>
      </c>
      <c r="B74" s="367">
        <f>+Amoco!D40</f>
        <v>-3928</v>
      </c>
      <c r="C74" s="345">
        <f>+B74*$G$3</f>
        <v>-8091.68</v>
      </c>
      <c r="D74" s="47">
        <f>+Amoco!D47</f>
        <v>326974.2</v>
      </c>
      <c r="E74" s="47">
        <f>+C74-D74</f>
        <v>-335065.88</v>
      </c>
      <c r="F74" s="364">
        <f>+Amoco!A40</f>
        <v>37298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179</v>
      </c>
      <c r="B75" s="367">
        <f>+'El Paso'!E39</f>
        <v>11389</v>
      </c>
      <c r="C75" s="345">
        <f>+B75*$G$3</f>
        <v>23461.34</v>
      </c>
      <c r="D75" s="47">
        <f>+'El Paso'!F46</f>
        <v>-657254.01</v>
      </c>
      <c r="E75" s="47">
        <f>+C75-D75</f>
        <v>680715.35</v>
      </c>
      <c r="F75" s="364">
        <f>+'El Paso'!A39</f>
        <v>37298</v>
      </c>
      <c r="G75" s="419" t="s">
        <v>154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-44809</v>
      </c>
      <c r="C76" s="348">
        <f>+B76*$G$3</f>
        <v>-92306.540000000008</v>
      </c>
      <c r="D76" s="348">
        <f>+NW!E49</f>
        <v>-553779.05999999994</v>
      </c>
      <c r="E76" s="348">
        <f>+C76-D76</f>
        <v>461472.5199999999</v>
      </c>
      <c r="F76" s="363">
        <f>+NW!B41</f>
        <v>37298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392">
        <f>SUBTOTAL(9,B73:B76)</f>
        <v>-16713</v>
      </c>
      <c r="C77" s="387">
        <f>SUBTOTAL(9,C73:C76)</f>
        <v>-34428.780000000013</v>
      </c>
      <c r="D77" s="387">
        <f>SUBTOTAL(9,D73:D76)</f>
        <v>-469380.89</v>
      </c>
      <c r="E77" s="387">
        <f>SUBTOTAL(9,E73:E76)</f>
        <v>434952.10999999987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159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115428</v>
      </c>
      <c r="C80" s="478">
        <f>+B80*$G$5</f>
        <v>237781.68</v>
      </c>
      <c r="D80" s="47">
        <f>+NGPL!D45</f>
        <v>294689.65000000002</v>
      </c>
      <c r="E80" s="47">
        <f>+C80-D80</f>
        <v>-56907.97000000003</v>
      </c>
      <c r="F80" s="364">
        <f>+NGPL!A38</f>
        <v>37298</v>
      </c>
      <c r="G80" s="203" t="s">
        <v>153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20402</v>
      </c>
      <c r="C81" s="479">
        <f>+B81*$G$4</f>
        <v>41824.1</v>
      </c>
      <c r="D81" s="47">
        <f>+PEPL!D47</f>
        <v>188293.5</v>
      </c>
      <c r="E81" s="47">
        <f>+C81-D81</f>
        <v>-146469.4</v>
      </c>
      <c r="F81" s="364">
        <f>+PEPL!A41</f>
        <v>37298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479">
        <f>+B82*$G$4</f>
        <v>36053.35</v>
      </c>
      <c r="D82" s="200">
        <f>+CIG!D49</f>
        <v>385897</v>
      </c>
      <c r="E82" s="70">
        <f>+C82-D82</f>
        <v>-349843.65</v>
      </c>
      <c r="F82" s="364">
        <f>+CIG!A42</f>
        <v>37298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5">
      <c r="A83" s="248" t="s">
        <v>31</v>
      </c>
      <c r="B83" s="371">
        <f>+Lonestar!F43</f>
        <v>41892</v>
      </c>
      <c r="C83" s="493">
        <f>+B83*G59</f>
        <v>86297.52</v>
      </c>
      <c r="D83" s="348">
        <f>+Lonestar!D50</f>
        <v>79140.960000000006</v>
      </c>
      <c r="E83" s="348">
        <f>+C83-D83</f>
        <v>7156.5599999999977</v>
      </c>
      <c r="F83" s="363">
        <f>+Lonestar!A43</f>
        <v>37297</v>
      </c>
      <c r="G83" s="32" t="s">
        <v>301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88">
        <f>SUBTOTAL(9,B80:B83)</f>
        <v>195309</v>
      </c>
      <c r="C84" s="387">
        <f>SUBTOTAL(9,C80:C83)</f>
        <v>401956.64999999997</v>
      </c>
      <c r="D84" s="387">
        <f>SUBTOTAL(9,D80:D83)</f>
        <v>948021.11</v>
      </c>
      <c r="E84" s="387">
        <f>SUBTOTAL(9,E80:E83)</f>
        <v>-546064.46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88">
        <f>SUBTOTAL(9,B66:B83)</f>
        <v>551021</v>
      </c>
      <c r="C86" s="387">
        <f>SUBTOTAL(9,C66:C83)</f>
        <v>1130999.1199999996</v>
      </c>
      <c r="D86" s="387">
        <f>SUBTOTAL(9,D66:D83)</f>
        <v>-741046.64000000013</v>
      </c>
      <c r="E86" s="387">
        <f>SUBTOTAL(9,E66:E83)</f>
        <v>1872045.7600000002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395">
        <f>+C86+B51</f>
        <v>2429945.7399999993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1185412.7069145157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9" workbookViewId="0">
      <selection activeCell="B41" sqref="B41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1710331</v>
      </c>
      <c r="C37" s="410">
        <f>SUM(C6:C36)</f>
        <v>1711451</v>
      </c>
      <c r="D37" s="410">
        <f>SUM(D6:D36)</f>
        <v>1120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37298</v>
      </c>
      <c r="B40" s="285"/>
      <c r="C40" s="435"/>
      <c r="D40" s="307">
        <f>+D39+D37</f>
        <v>-3928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8">
        <v>324667</v>
      </c>
    </row>
    <row r="46" spans="1:16" x14ac:dyDescent="0.25">
      <c r="A46" s="49">
        <f>+A40</f>
        <v>37298</v>
      </c>
      <c r="B46" s="32"/>
      <c r="C46" s="32"/>
      <c r="D46" s="374">
        <f>+D37*'by type_area'!G3</f>
        <v>2307.2000000000003</v>
      </c>
    </row>
    <row r="47" spans="1:16" x14ac:dyDescent="0.25">
      <c r="A47" s="32"/>
      <c r="B47" s="32"/>
      <c r="C47" s="32"/>
      <c r="D47" s="200">
        <f>+D46+D45</f>
        <v>326974.2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6" sqref="C36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-86603</v>
      </c>
      <c r="C36" s="24">
        <f>SUM(C5:C35)</f>
        <v>-89399</v>
      </c>
      <c r="D36" s="24">
        <f t="shared" si="0"/>
        <v>-2796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-5759.76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37298</v>
      </c>
      <c r="B40"/>
      <c r="C40" s="48"/>
      <c r="D40" s="138">
        <f>+D39+D38</f>
        <v>14315.47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6">
        <v>7554</v>
      </c>
    </row>
    <row r="46" spans="1:65" x14ac:dyDescent="0.25">
      <c r="A46" s="49">
        <f>+A40</f>
        <v>37298</v>
      </c>
      <c r="B46" s="32"/>
      <c r="C46" s="32"/>
      <c r="D46" s="349">
        <f>+D36</f>
        <v>-2796</v>
      </c>
    </row>
    <row r="47" spans="1:65" x14ac:dyDescent="0.25">
      <c r="A47" s="32"/>
      <c r="B47" s="32"/>
      <c r="C47" s="32"/>
      <c r="D47" s="14">
        <f>+D46+D45</f>
        <v>4758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1" workbookViewId="0">
      <selection activeCell="A25" sqref="A25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364524</v>
      </c>
      <c r="C5" s="90">
        <v>366394</v>
      </c>
      <c r="D5" s="90">
        <f>+C5-B5</f>
        <v>1870</v>
      </c>
      <c r="E5" s="275"/>
      <c r="F5" s="273"/>
    </row>
    <row r="6" spans="1:13" x14ac:dyDescent="0.25">
      <c r="A6" s="87">
        <v>78311</v>
      </c>
      <c r="B6" s="90">
        <v>132942</v>
      </c>
      <c r="C6" s="90">
        <v>134200</v>
      </c>
      <c r="D6" s="90">
        <f t="shared" ref="D6:D17" si="0">+C6-B6</f>
        <v>1258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352006</v>
      </c>
      <c r="C7" s="90">
        <v>416613</v>
      </c>
      <c r="D7" s="90">
        <f t="shared" si="0"/>
        <v>64607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400605</v>
      </c>
      <c r="C8" s="90">
        <v>374251</v>
      </c>
      <c r="D8" s="90">
        <f t="shared" si="0"/>
        <v>-26354</v>
      </c>
      <c r="E8" s="455"/>
      <c r="F8" s="273"/>
    </row>
    <row r="9" spans="1:13" x14ac:dyDescent="0.25">
      <c r="A9" s="87">
        <v>500293</v>
      </c>
      <c r="B9" s="90">
        <v>193743</v>
      </c>
      <c r="C9" s="90">
        <v>223190</v>
      </c>
      <c r="D9" s="90">
        <f t="shared" si="0"/>
        <v>29447</v>
      </c>
      <c r="E9" s="275"/>
      <c r="F9" s="273"/>
    </row>
    <row r="10" spans="1:13" x14ac:dyDescent="0.25">
      <c r="A10" s="87">
        <v>500302</v>
      </c>
      <c r="B10" s="90"/>
      <c r="C10" s="90">
        <v>3333</v>
      </c>
      <c r="D10" s="90">
        <f t="shared" si="0"/>
        <v>3333</v>
      </c>
      <c r="E10" s="275"/>
      <c r="F10" s="273"/>
    </row>
    <row r="11" spans="1:13" x14ac:dyDescent="0.25">
      <c r="A11" s="87">
        <v>500303</v>
      </c>
      <c r="B11" s="90"/>
      <c r="C11" s="90">
        <v>9679</v>
      </c>
      <c r="D11" s="90">
        <f t="shared" si="0"/>
        <v>9679</v>
      </c>
      <c r="E11" s="275"/>
      <c r="F11" s="273"/>
    </row>
    <row r="12" spans="1:13" x14ac:dyDescent="0.25">
      <c r="A12" s="91">
        <v>500305</v>
      </c>
      <c r="B12" s="90">
        <v>557133</v>
      </c>
      <c r="C12" s="90">
        <v>579668</v>
      </c>
      <c r="D12" s="90">
        <f t="shared" si="0"/>
        <v>22535</v>
      </c>
      <c r="E12" s="276"/>
      <c r="F12" s="465"/>
      <c r="G12" s="90"/>
    </row>
    <row r="13" spans="1:13" x14ac:dyDescent="0.25">
      <c r="A13" s="87">
        <v>500307</v>
      </c>
      <c r="B13" s="90">
        <v>36600</v>
      </c>
      <c r="C13" s="90">
        <v>21446</v>
      </c>
      <c r="D13" s="90">
        <f t="shared" si="0"/>
        <v>-15154</v>
      </c>
      <c r="E13" s="275"/>
      <c r="F13" s="273"/>
    </row>
    <row r="14" spans="1:13" x14ac:dyDescent="0.25">
      <c r="A14" s="87">
        <v>500313</v>
      </c>
      <c r="B14" s="90"/>
      <c r="C14" s="90">
        <v>1018</v>
      </c>
      <c r="D14" s="90">
        <f t="shared" si="0"/>
        <v>1018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70888</v>
      </c>
      <c r="C16" s="90"/>
      <c r="D16" s="90">
        <f t="shared" si="0"/>
        <v>-70888</v>
      </c>
      <c r="E16" s="275"/>
      <c r="F16" s="273"/>
    </row>
    <row r="17" spans="1:7" x14ac:dyDescent="0.25">
      <c r="A17" s="87">
        <v>500657</v>
      </c>
      <c r="B17" s="88">
        <v>31456</v>
      </c>
      <c r="C17" s="88">
        <v>9000</v>
      </c>
      <c r="D17" s="94">
        <f t="shared" si="0"/>
        <v>-22456</v>
      </c>
      <c r="E17" s="275"/>
      <c r="F17" s="273"/>
      <c r="G17" s="566"/>
    </row>
    <row r="18" spans="1:7" x14ac:dyDescent="0.25">
      <c r="A18" s="87"/>
      <c r="B18" s="88"/>
      <c r="C18" s="88"/>
      <c r="D18" s="88">
        <f>SUM(D5:D17)</f>
        <v>-1105</v>
      </c>
      <c r="E18" s="275"/>
      <c r="F18" s="465"/>
    </row>
    <row r="19" spans="1:7" x14ac:dyDescent="0.25">
      <c r="A19" s="87" t="s">
        <v>81</v>
      </c>
      <c r="B19" s="88"/>
      <c r="C19" s="88"/>
      <c r="D19" s="95">
        <f>+summary!G5</f>
        <v>2.06</v>
      </c>
      <c r="E19" s="277"/>
      <c r="F19" s="465"/>
    </row>
    <row r="20" spans="1:7" x14ac:dyDescent="0.25">
      <c r="A20" s="87"/>
      <c r="B20" s="88"/>
      <c r="C20" s="88"/>
      <c r="D20" s="96">
        <f>+D19*D18</f>
        <v>-2276.3000000000002</v>
      </c>
      <c r="E20" s="207"/>
      <c r="F20" s="465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91">
        <v>121616.94</v>
      </c>
      <c r="E22" s="207"/>
      <c r="F22" s="466"/>
    </row>
    <row r="23" spans="1:7" x14ac:dyDescent="0.25">
      <c r="A23" s="87"/>
      <c r="B23" s="88"/>
      <c r="C23" s="88"/>
      <c r="D23" s="308"/>
      <c r="E23" s="207"/>
      <c r="F23" s="466"/>
    </row>
    <row r="24" spans="1:7" ht="13.8" thickBot="1" x14ac:dyDescent="0.3">
      <c r="A24" s="99">
        <v>37298</v>
      </c>
      <c r="B24" s="88"/>
      <c r="C24" s="88"/>
      <c r="D24" s="318">
        <f>+D22+D20</f>
        <v>119340.64</v>
      </c>
      <c r="E24" s="207"/>
      <c r="F24" s="4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4"/>
    </row>
    <row r="29" spans="1:7" x14ac:dyDescent="0.25">
      <c r="A29" s="49">
        <f>+A22</f>
        <v>37287</v>
      </c>
      <c r="B29" s="32"/>
      <c r="C29" s="32"/>
      <c r="D29" s="576">
        <v>70652</v>
      </c>
    </row>
    <row r="30" spans="1:7" x14ac:dyDescent="0.25">
      <c r="A30" s="49">
        <f>+A24</f>
        <v>37298</v>
      </c>
      <c r="B30" s="32"/>
      <c r="C30" s="32"/>
      <c r="D30" s="349">
        <f>+D18</f>
        <v>-1105</v>
      </c>
    </row>
    <row r="31" spans="1:7" x14ac:dyDescent="0.25">
      <c r="A31" s="32"/>
      <c r="B31" s="32"/>
      <c r="C31" s="32"/>
      <c r="D31" s="14">
        <f>+D30+D29</f>
        <v>69547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D14" sqref="D1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542531</v>
      </c>
      <c r="C35" s="11">
        <f>SUM(C4:C34)</f>
        <v>532434</v>
      </c>
      <c r="D35" s="11">
        <f>SUM(D4:D34)</f>
        <v>165490</v>
      </c>
      <c r="E35" s="11">
        <f>SUM(E4:E34)</f>
        <v>173282</v>
      </c>
      <c r="F35" s="11">
        <f>+E35-D35+C35-B35</f>
        <v>-2305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2.0499999999999998</v>
      </c>
    </row>
    <row r="38" spans="1:7" x14ac:dyDescent="0.2">
      <c r="C38" s="48"/>
      <c r="D38" s="47"/>
      <c r="E38" s="48"/>
      <c r="F38" s="46">
        <f>+F37*F35</f>
        <v>-4725.25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73">
        <v>451518.05</v>
      </c>
      <c r="G40" s="25"/>
    </row>
    <row r="41" spans="1:7" x14ac:dyDescent="0.2">
      <c r="A41" s="57">
        <v>37298</v>
      </c>
      <c r="C41" s="106"/>
      <c r="D41" s="106"/>
      <c r="E41" s="106"/>
      <c r="F41" s="106">
        <f>+F38+F40</f>
        <v>446792.8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37298</v>
      </c>
      <c r="D47" s="349">
        <f>+F35</f>
        <v>-2305</v>
      </c>
      <c r="E47" s="11"/>
      <c r="F47" s="11"/>
      <c r="G47" s="25"/>
    </row>
    <row r="48" spans="1:7" x14ac:dyDescent="0.2">
      <c r="D48" s="14">
        <f>+D47+D46</f>
        <v>11379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37" sqref="E37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1967540</v>
      </c>
      <c r="C36" s="11">
        <f>SUM(C5:C35)</f>
        <v>1988318</v>
      </c>
      <c r="D36" s="11">
        <f>SUM(D5:D35)</f>
        <v>0</v>
      </c>
      <c r="E36" s="11">
        <f>SUM(E5:E35)</f>
        <v>-30396</v>
      </c>
      <c r="F36" s="11">
        <f>SUM(F5:F35)</f>
        <v>-9618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81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37298</v>
      </c>
      <c r="F41" s="332">
        <f>+F39+F36</f>
        <v>-44809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83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37298</v>
      </c>
      <c r="C48" s="32"/>
      <c r="D48" s="32"/>
      <c r="E48" s="374">
        <f>+F36*'by type_area'!G3</f>
        <v>-19813.080000000002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-553779.05999999994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D48" sqref="D4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849567</v>
      </c>
      <c r="C39" s="11">
        <f>SUM(C8:C38)</f>
        <v>848354</v>
      </c>
      <c r="D39" s="11">
        <f>SUM(D8:D38)</f>
        <v>-1213</v>
      </c>
      <c r="E39" s="10"/>
      <c r="F39" s="11"/>
      <c r="G39" s="11"/>
      <c r="H39" s="11"/>
    </row>
    <row r="40" spans="1:8" x14ac:dyDescent="0.25">
      <c r="A40" s="26"/>
      <c r="D40" s="75">
        <f>+summary!G4</f>
        <v>2.0499999999999998</v>
      </c>
      <c r="E40" s="26"/>
      <c r="H40" s="75"/>
    </row>
    <row r="41" spans="1:8" x14ac:dyDescent="0.25">
      <c r="D41" s="195">
        <f>+D40*D39</f>
        <v>-2486.6499999999996</v>
      </c>
      <c r="F41" s="247"/>
      <c r="H41" s="195"/>
    </row>
    <row r="42" spans="1:8" x14ac:dyDescent="0.25">
      <c r="A42" s="57">
        <v>37287</v>
      </c>
      <c r="D42" s="605">
        <v>28675</v>
      </c>
      <c r="E42" s="57"/>
      <c r="H42" s="195"/>
    </row>
    <row r="43" spans="1:8" x14ac:dyDescent="0.25">
      <c r="A43" s="57">
        <v>37296</v>
      </c>
      <c r="D43" s="196">
        <f>+D42+D41</f>
        <v>26188.35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600">
        <v>-42160</v>
      </c>
    </row>
    <row r="49" spans="1:4" x14ac:dyDescent="0.25">
      <c r="A49" s="49">
        <f>+A43</f>
        <v>37296</v>
      </c>
      <c r="B49" s="32"/>
      <c r="C49" s="32"/>
      <c r="D49" s="349">
        <f>+D39</f>
        <v>-1213</v>
      </c>
    </row>
    <row r="50" spans="1:4" x14ac:dyDescent="0.25">
      <c r="A50" s="32"/>
      <c r="B50" s="32"/>
      <c r="C50" s="32"/>
      <c r="D50" s="14">
        <f>+D49+D48</f>
        <v>-43373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B9" sqref="B9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92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250</v>
      </c>
      <c r="J6" s="15"/>
    </row>
    <row r="7" spans="1:14" x14ac:dyDescent="0.25">
      <c r="A7" s="57">
        <v>37298</v>
      </c>
      <c r="I7" s="3" t="s">
        <v>256</v>
      </c>
      <c r="J7" s="15"/>
    </row>
    <row r="8" spans="1:14" x14ac:dyDescent="0.25">
      <c r="A8" s="248">
        <v>50895</v>
      </c>
      <c r="B8" s="339">
        <f>2295-2046</f>
        <v>249</v>
      </c>
      <c r="J8" s="15"/>
    </row>
    <row r="9" spans="1:14" x14ac:dyDescent="0.25">
      <c r="A9" s="248">
        <v>60874</v>
      </c>
      <c r="B9" s="339">
        <v>933</v>
      </c>
      <c r="J9" s="15"/>
    </row>
    <row r="10" spans="1:14" x14ac:dyDescent="0.25">
      <c r="A10" s="248">
        <v>78169</v>
      </c>
      <c r="B10" s="339">
        <f>147010-136849-17950</f>
        <v>-7789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1340-5995</f>
        <v>-4655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536201-551901</f>
        <v>-15700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-24512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2.06</v>
      </c>
      <c r="C19" s="199">
        <f>+B19*B18</f>
        <v>-50494.720000000001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1478981.8800000001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523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37297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2.0499999999999998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76">
        <v>377700</v>
      </c>
      <c r="G38" s="522">
        <v>117857</v>
      </c>
      <c r="H38" s="516">
        <v>193435</v>
      </c>
      <c r="I38" s="14"/>
    </row>
    <row r="39" spans="1:9" x14ac:dyDescent="0.25">
      <c r="E39" s="49">
        <f>+A7</f>
        <v>37298</v>
      </c>
      <c r="F39" s="349">
        <f>+B18</f>
        <v>-24512</v>
      </c>
      <c r="G39" s="349">
        <f>+B31</f>
        <v>0</v>
      </c>
      <c r="H39" s="349">
        <f>+B46</f>
        <v>1749</v>
      </c>
      <c r="I39" s="14"/>
    </row>
    <row r="40" spans="1:9" x14ac:dyDescent="0.25">
      <c r="A40" s="49">
        <v>37287</v>
      </c>
      <c r="C40" s="523">
        <v>855876.1</v>
      </c>
      <c r="F40" s="14">
        <f>+F39+F38</f>
        <v>353188</v>
      </c>
      <c r="G40" s="14">
        <f>+G39+G38</f>
        <v>117857</v>
      </c>
      <c r="H40" s="14">
        <f>+H39+H38</f>
        <v>195184</v>
      </c>
      <c r="I40" s="14">
        <f>+H40+G40+F40</f>
        <v>666229</v>
      </c>
    </row>
    <row r="41" spans="1:9" x14ac:dyDescent="0.25">
      <c r="G41" s="32"/>
      <c r="H41" s="15"/>
      <c r="I41" s="32"/>
    </row>
    <row r="42" spans="1:9" x14ac:dyDescent="0.25">
      <c r="A42" s="245">
        <v>37297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842</v>
      </c>
      <c r="G44" s="32"/>
      <c r="H44" s="380"/>
      <c r="I44" s="14"/>
    </row>
    <row r="45" spans="1:9" x14ac:dyDescent="0.25">
      <c r="A45" s="32">
        <v>500392</v>
      </c>
      <c r="B45" s="250">
        <v>907</v>
      </c>
      <c r="G45" s="32"/>
      <c r="H45" s="380"/>
      <c r="I45" s="14"/>
    </row>
    <row r="46" spans="1:9" x14ac:dyDescent="0.25">
      <c r="B46" s="14">
        <f>SUM(B43:B45)</f>
        <v>1749</v>
      </c>
      <c r="G46" s="32"/>
      <c r="H46" s="380"/>
      <c r="I46" s="14"/>
    </row>
    <row r="47" spans="1:9" x14ac:dyDescent="0.25">
      <c r="B47" s="199">
        <f>+summary!G5</f>
        <v>2.06</v>
      </c>
      <c r="C47" s="199">
        <f>+B47*B46</f>
        <v>3602.94</v>
      </c>
      <c r="H47" s="380"/>
      <c r="I47" s="14"/>
    </row>
    <row r="48" spans="1:9" x14ac:dyDescent="0.25">
      <c r="C48" s="321">
        <f>+C47+C40</f>
        <v>859479.03999999992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24">
        <v>73445.08</v>
      </c>
      <c r="D53" s="32" t="s">
        <v>119</v>
      </c>
      <c r="E53" s="50"/>
      <c r="H53" s="380">
        <v>21665</v>
      </c>
      <c r="I53" s="522">
        <v>36401</v>
      </c>
    </row>
    <row r="54" spans="1:9" x14ac:dyDescent="0.25">
      <c r="A54" s="32">
        <v>22664</v>
      </c>
      <c r="B54" s="15" t="s">
        <v>137</v>
      </c>
      <c r="C54" s="525">
        <v>23612.35</v>
      </c>
      <c r="D54" s="32" t="s">
        <v>120</v>
      </c>
      <c r="H54" s="380">
        <v>22664</v>
      </c>
      <c r="I54" s="526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2710832.0700000003</v>
      </c>
      <c r="I57" s="14">
        <f>SUM(I40:I54)</f>
        <v>721562</v>
      </c>
    </row>
    <row r="61" spans="1:9" x14ac:dyDescent="0.25">
      <c r="C61" s="15">
        <f>+DEFS!F49</f>
        <v>-2836975.5200000005</v>
      </c>
    </row>
    <row r="62" spans="1:9" x14ac:dyDescent="0.25">
      <c r="C62" s="15">
        <f>+C61+C57</f>
        <v>-126143.45000000019</v>
      </c>
      <c r="I62" s="31">
        <f>+I57+DEFS!K49</f>
        <v>268154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1478981.8800000001</v>
      </c>
      <c r="C72" s="14">
        <f>+F40</f>
        <v>353188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859479.03999999992</v>
      </c>
      <c r="C74" s="14">
        <f>+H40</f>
        <v>195184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-629219.38</v>
      </c>
      <c r="C78" s="14">
        <f>+DEFS!J36</f>
        <v>-156239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-126143.4499999996</v>
      </c>
      <c r="C83" s="16">
        <f>SUM(C72:C82)</f>
        <v>268154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2" workbookViewId="0">
      <selection activeCell="E36" sqref="E3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76">
        <v>-183967</v>
      </c>
      <c r="J34" s="576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381204</v>
      </c>
      <c r="E35" s="11">
        <f>SUM(E4:E34)</f>
        <v>374888</v>
      </c>
      <c r="F35" s="11">
        <f>SUM(F4:F34)</f>
        <v>-6316</v>
      </c>
      <c r="G35" s="11"/>
      <c r="H35" s="49">
        <f>+A40</f>
        <v>37298</v>
      </c>
      <c r="I35" s="349">
        <f>+C36</f>
        <v>0</v>
      </c>
      <c r="J35" s="349">
        <f>+E36</f>
        <v>-6316</v>
      </c>
      <c r="K35" s="206"/>
      <c r="L35" s="14"/>
    </row>
    <row r="36" spans="1:13" x14ac:dyDescent="0.25">
      <c r="C36" s="25">
        <f>+C35-B35</f>
        <v>0</v>
      </c>
      <c r="E36" s="25">
        <f>+E35-D35</f>
        <v>-6316</v>
      </c>
      <c r="F36" s="25">
        <f>+E36+C36</f>
        <v>-6316</v>
      </c>
      <c r="H36" s="32"/>
      <c r="I36" s="14">
        <f>+I35+I34</f>
        <v>-183967</v>
      </c>
      <c r="J36" s="14">
        <f>+J35+J34</f>
        <v>-156239</v>
      </c>
      <c r="K36" s="14">
        <f>+J36+I36</f>
        <v>-340206</v>
      </c>
      <c r="L36" s="14"/>
    </row>
    <row r="37" spans="1:13" x14ac:dyDescent="0.25">
      <c r="C37" s="313">
        <f>+summary!G5</f>
        <v>2.06</v>
      </c>
      <c r="E37" s="104">
        <f>+C37</f>
        <v>2.06</v>
      </c>
      <c r="F37" s="138">
        <f>+F36*E37</f>
        <v>-13010.960000000001</v>
      </c>
    </row>
    <row r="38" spans="1:13" x14ac:dyDescent="0.25">
      <c r="C38" s="138">
        <f>+C37*C36</f>
        <v>0</v>
      </c>
      <c r="E38" s="136">
        <f>+E37*E36</f>
        <v>-13010.960000000001</v>
      </c>
      <c r="F38" s="138">
        <f>+E38+C38</f>
        <v>-13010.960000000001</v>
      </c>
    </row>
    <row r="39" spans="1:13" x14ac:dyDescent="0.25">
      <c r="A39" s="57">
        <v>37287</v>
      </c>
      <c r="B39" s="2" t="s">
        <v>45</v>
      </c>
      <c r="C39" s="595">
        <v>-1035385.61</v>
      </c>
      <c r="D39" s="320"/>
      <c r="E39" s="582">
        <v>-616208.42000000004</v>
      </c>
      <c r="F39" s="319">
        <f>+E39+C39</f>
        <v>-1651594.03</v>
      </c>
    </row>
    <row r="40" spans="1:13" x14ac:dyDescent="0.25">
      <c r="A40" s="57">
        <v>37298</v>
      </c>
      <c r="B40" s="2" t="s">
        <v>45</v>
      </c>
      <c r="C40" s="314">
        <f>+C39+C38</f>
        <v>-1035385.61</v>
      </c>
      <c r="D40" s="252"/>
      <c r="E40" s="314">
        <f>+E39+E38</f>
        <v>-629219.38</v>
      </c>
      <c r="F40" s="314">
        <f>+E40+C40</f>
        <v>-1664604.99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93"/>
    </row>
    <row r="44" spans="1:13" x14ac:dyDescent="0.25">
      <c r="C44" s="246"/>
      <c r="D44" s="246"/>
      <c r="E44" s="12">
        <v>22864</v>
      </c>
      <c r="F44" s="592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92">
        <v>-51695.87</v>
      </c>
      <c r="G45" s="249" t="s">
        <v>122</v>
      </c>
      <c r="J45" s="12">
        <v>20379</v>
      </c>
      <c r="K45" s="594">
        <v>2979</v>
      </c>
      <c r="M45" s="14"/>
    </row>
    <row r="46" spans="1:13" x14ac:dyDescent="0.25">
      <c r="C46" s="246"/>
      <c r="D46" s="246"/>
      <c r="E46" s="12">
        <v>26357</v>
      </c>
      <c r="F46" s="597">
        <f>44144.84-58339.66</f>
        <v>-14194.820000000007</v>
      </c>
      <c r="G46" s="249" t="s">
        <v>123</v>
      </c>
      <c r="J46" s="12">
        <v>26357</v>
      </c>
      <c r="K46" s="594">
        <f>26521-24566</f>
        <v>1955</v>
      </c>
    </row>
    <row r="47" spans="1:13" x14ac:dyDescent="0.25">
      <c r="C47" s="246"/>
      <c r="D47" s="246"/>
      <c r="E47" s="12">
        <v>21544</v>
      </c>
      <c r="F47" s="592">
        <v>61340.160000000003</v>
      </c>
      <c r="G47" s="249" t="s">
        <v>124</v>
      </c>
      <c r="J47" s="12">
        <v>21544</v>
      </c>
      <c r="K47" s="594">
        <v>36108</v>
      </c>
    </row>
    <row r="48" spans="1:13" x14ac:dyDescent="0.25">
      <c r="C48" s="246"/>
      <c r="D48" s="246"/>
      <c r="E48" s="12">
        <v>24532</v>
      </c>
      <c r="F48" s="596">
        <v>-1167820</v>
      </c>
      <c r="G48" s="249" t="s">
        <v>121</v>
      </c>
      <c r="J48" s="12">
        <v>24532</v>
      </c>
      <c r="K48" s="576">
        <v>-154244</v>
      </c>
    </row>
    <row r="49" spans="3:13" x14ac:dyDescent="0.25">
      <c r="C49" s="246"/>
      <c r="D49" s="246"/>
      <c r="F49" s="330">
        <f>SUM(F40:F48)</f>
        <v>-2836975.5200000005</v>
      </c>
      <c r="G49" s="246"/>
      <c r="K49" s="14">
        <f>SUM(K36:K48)</f>
        <v>-453408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2710832.0700000003</v>
      </c>
      <c r="M51" s="14">
        <f>+Duke!I57</f>
        <v>721562</v>
      </c>
    </row>
    <row r="53" spans="3:13" x14ac:dyDescent="0.25">
      <c r="F53" s="104">
        <f>+F51+F49</f>
        <v>-126143.45000000019</v>
      </c>
      <c r="M53" s="16">
        <f>+M51+K49</f>
        <v>268154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-156239</v>
      </c>
      <c r="C74" s="247">
        <f>+E40</f>
        <v>-629219.38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195184</v>
      </c>
      <c r="C77" s="259">
        <f>+Duke!C48</f>
        <v>859479.03999999992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353188</v>
      </c>
      <c r="C79" s="259">
        <f>+Duke!C20</f>
        <v>1478981.8800000001</v>
      </c>
    </row>
    <row r="81" spans="2:3" x14ac:dyDescent="0.25">
      <c r="B81" s="31">
        <f>SUM(B68:B80)</f>
        <v>268154</v>
      </c>
      <c r="C81" s="259">
        <f>SUM(C68:C80)</f>
        <v>-126143.44999999972</v>
      </c>
    </row>
    <row r="82" spans="2:3" x14ac:dyDescent="0.25">
      <c r="C82">
        <f>+C81/B81</f>
        <v>-0.47041420228674463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4" workbookViewId="0">
      <selection activeCell="A44" sqref="A4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5553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-441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59401</v>
      </c>
      <c r="C39" s="11">
        <f t="shared" si="1"/>
        <v>63621</v>
      </c>
      <c r="D39" s="11">
        <f t="shared" si="1"/>
        <v>252</v>
      </c>
      <c r="E39" s="11">
        <f t="shared" si="1"/>
        <v>66</v>
      </c>
      <c r="F39" s="129">
        <f t="shared" si="1"/>
        <v>9922</v>
      </c>
      <c r="G39" s="11">
        <f t="shared" si="1"/>
        <v>6391</v>
      </c>
      <c r="H39" s="11">
        <f t="shared" si="1"/>
        <v>16569</v>
      </c>
      <c r="I39" s="11">
        <f t="shared" si="1"/>
        <v>9845</v>
      </c>
      <c r="J39" s="25">
        <f t="shared" si="1"/>
        <v>-6221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-12753.05</v>
      </c>
      <c r="L41"/>
      <c r="R41" s="138"/>
      <c r="X41" s="138"/>
    </row>
    <row r="42" spans="1:24" x14ac:dyDescent="0.25">
      <c r="A42" s="57">
        <v>37287</v>
      </c>
      <c r="C42" s="15"/>
      <c r="J42" s="579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37298</v>
      </c>
      <c r="C43" s="48"/>
      <c r="J43" s="138">
        <f>+J42+J41</f>
        <v>328524.95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76">
        <v>135419</v>
      </c>
      <c r="L47"/>
    </row>
    <row r="48" spans="1:24" x14ac:dyDescent="0.25">
      <c r="A48" s="49">
        <f>+A43</f>
        <v>37298</v>
      </c>
      <c r="B48" s="32"/>
      <c r="C48" s="32"/>
      <c r="D48" s="349">
        <f>+J39</f>
        <v>-6221</v>
      </c>
      <c r="L48"/>
    </row>
    <row r="49" spans="1:12" x14ac:dyDescent="0.25">
      <c r="A49" s="32"/>
      <c r="B49" s="32"/>
      <c r="C49" s="32"/>
      <c r="D49" s="14">
        <f>+D48+D47</f>
        <v>129198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37" sqref="D37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-4873</v>
      </c>
      <c r="E39" s="410">
        <f>SUM(E8:E38)</f>
        <v>0</v>
      </c>
      <c r="F39" s="410">
        <f>SUM(F8:F38)</f>
        <v>4873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9989.65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72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37298</v>
      </c>
      <c r="B43" s="285"/>
      <c r="C43" s="435"/>
      <c r="D43" s="435"/>
      <c r="E43" s="435"/>
      <c r="F43" s="416">
        <f>+F42+F41</f>
        <v>162224.28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6">
        <v>-368359</v>
      </c>
      <c r="E47" s="11"/>
    </row>
    <row r="48" spans="1:26" x14ac:dyDescent="0.25">
      <c r="A48" s="49">
        <f>+A43</f>
        <v>37298</v>
      </c>
      <c r="B48" s="32"/>
      <c r="C48" s="32"/>
      <c r="D48" s="349">
        <f>+F39</f>
        <v>4873</v>
      </c>
      <c r="E48" s="11"/>
    </row>
    <row r="49" spans="1:5" x14ac:dyDescent="0.25">
      <c r="A49" s="32"/>
      <c r="B49" s="32"/>
      <c r="C49" s="32"/>
      <c r="D49" s="14">
        <f>+D48+D47</f>
        <v>-363486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7" workbookViewId="0">
      <selection activeCell="A49" sqref="A49"/>
    </sheetView>
  </sheetViews>
  <sheetFormatPr defaultColWidth="9.109375" defaultRowHeight="13.2" x14ac:dyDescent="0.25"/>
  <cols>
    <col min="1" max="1" width="25.88671875" style="285" customWidth="1"/>
    <col min="2" max="2" width="11.109375" style="552" bestFit="1" customWidth="1"/>
    <col min="3" max="3" width="9.6640625" style="553" customWidth="1"/>
    <col min="4" max="4" width="5.109375" style="554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56" bestFit="1" customWidth="1"/>
    <col min="15" max="15" width="9" style="557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55"/>
    </row>
    <row r="3" spans="1:33" ht="15" customHeight="1" x14ac:dyDescent="0.25">
      <c r="F3" s="558" t="s">
        <v>29</v>
      </c>
      <c r="G3" s="559">
        <f>+'[3]1001'!$K$39</f>
        <v>2.06</v>
      </c>
      <c r="J3" s="373">
        <f ca="1">NOW()</f>
        <v>37300.614893634258</v>
      </c>
    </row>
    <row r="4" spans="1:33" ht="15" customHeight="1" x14ac:dyDescent="0.25">
      <c r="A4" s="34" t="s">
        <v>145</v>
      </c>
      <c r="C4" s="34" t="s">
        <v>5</v>
      </c>
      <c r="F4" s="560" t="s">
        <v>30</v>
      </c>
      <c r="G4" s="561">
        <f>+'[3]1001'!$M$39</f>
        <v>2.0499999999999998</v>
      </c>
    </row>
    <row r="5" spans="1:33" ht="15" customHeight="1" x14ac:dyDescent="0.25">
      <c r="B5" s="562"/>
      <c r="F5" s="558" t="s">
        <v>117</v>
      </c>
      <c r="G5" s="559">
        <f>+'[3]1001'!$H$39</f>
        <v>2.06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894310.44</v>
      </c>
      <c r="C8" s="275">
        <f>+B8/$G$4</f>
        <v>436248.99512195121</v>
      </c>
      <c r="D8" s="364">
        <f>+PNM!A23</f>
        <v>37298</v>
      </c>
      <c r="E8" s="32" t="s">
        <v>85</v>
      </c>
      <c r="F8" s="32" t="s">
        <v>300</v>
      </c>
      <c r="G8" s="32" t="s">
        <v>291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345">
        <f>+Conoco!$F$41</f>
        <v>446792.8</v>
      </c>
      <c r="C9" s="275">
        <f>+B9/$G$4</f>
        <v>217947.70731707319</v>
      </c>
      <c r="D9" s="363">
        <f>+Conoco!A41</f>
        <v>37298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375816.24999999994</v>
      </c>
      <c r="C10" s="275">
        <f>+Mojave!D40</f>
        <v>183325</v>
      </c>
      <c r="D10" s="364">
        <f>+Mojave!A40</f>
        <v>37298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107</v>
      </c>
      <c r="B11" s="345">
        <f>+KN_Westar!F41</f>
        <v>329520.2</v>
      </c>
      <c r="C11" s="275">
        <f>+B11/$G$4</f>
        <v>160741.56097560978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2</v>
      </c>
      <c r="B12" s="345">
        <f>+mewborne!$J$43</f>
        <v>328524.95</v>
      </c>
      <c r="C12" s="275">
        <f>+B12/$G$4</f>
        <v>160256.07317073172</v>
      </c>
      <c r="D12" s="364">
        <f>+mewborne!A43</f>
        <v>37298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88</v>
      </c>
      <c r="B13" s="345">
        <f>+C13*$G$5</f>
        <v>237781.68</v>
      </c>
      <c r="C13" s="275">
        <f>+NGPL!H38</f>
        <v>115428</v>
      </c>
      <c r="D13" s="364">
        <f>+NGPL!A38</f>
        <v>37298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204" t="s">
        <v>32</v>
      </c>
      <c r="B14" s="345">
        <f>+C14*$G$4</f>
        <v>175346.74999999997</v>
      </c>
      <c r="C14" s="206">
        <f>+SoCal!F40</f>
        <v>85535</v>
      </c>
      <c r="D14" s="363">
        <f>+SoCal!A40</f>
        <v>37298</v>
      </c>
      <c r="E14" s="204" t="s">
        <v>84</v>
      </c>
      <c r="F14" s="204" t="s">
        <v>153</v>
      </c>
      <c r="G14" s="204" t="s">
        <v>102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207</v>
      </c>
      <c r="B15" s="345">
        <f>+Dominion!D41</f>
        <v>173931.88</v>
      </c>
      <c r="C15" s="275">
        <f>+B15/$G$5</f>
        <v>84432.951456310679</v>
      </c>
      <c r="D15" s="364">
        <f>+Dominion!A41</f>
        <v>37298</v>
      </c>
      <c r="E15" s="32" t="s">
        <v>85</v>
      </c>
      <c r="F15" s="32" t="s">
        <v>300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3</v>
      </c>
      <c r="B16" s="345">
        <f>+'Amoco Abo'!$F$43</f>
        <v>162224.28</v>
      </c>
      <c r="C16" s="275">
        <f>+B16/$G$4</f>
        <v>79133.795121951232</v>
      </c>
      <c r="D16" s="364">
        <f>+'Amoco Abo'!A43</f>
        <v>37298</v>
      </c>
      <c r="E16" s="32" t="s">
        <v>85</v>
      </c>
      <c r="F16" s="32" t="s">
        <v>153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04" t="s">
        <v>33</v>
      </c>
      <c r="B17" s="345">
        <f>+'El Paso'!C39*summary!G4+'El Paso'!E39*summary!G3</f>
        <v>155212.78999999998</v>
      </c>
      <c r="C17" s="275">
        <f>+'El Paso'!H39</f>
        <v>75658</v>
      </c>
      <c r="D17" s="363">
        <f>+'El Paso'!A39</f>
        <v>37298</v>
      </c>
      <c r="E17" s="204" t="s">
        <v>84</v>
      </c>
      <c r="F17" s="204" t="s">
        <v>154</v>
      </c>
      <c r="G17" s="204" t="s">
        <v>100</v>
      </c>
      <c r="H17" s="204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129</v>
      </c>
      <c r="B18" s="345">
        <f>+EPFS!D41</f>
        <v>135163.5</v>
      </c>
      <c r="C18" s="206">
        <f>+B18/$G$5</f>
        <v>65613.349514563102</v>
      </c>
      <c r="D18" s="363">
        <f>+EPFS!A41</f>
        <v>37298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442" t="s">
        <v>79</v>
      </c>
      <c r="B19" s="503">
        <f>+Agave!$D$24</f>
        <v>119340.64</v>
      </c>
      <c r="C19" s="462">
        <f>+B19/$G$4</f>
        <v>58214.946341463423</v>
      </c>
      <c r="D19" s="461">
        <f>+Agave!A24</f>
        <v>37298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218</v>
      </c>
      <c r="B20" s="345">
        <f>+Amarillo!P41</f>
        <v>91858.28</v>
      </c>
      <c r="C20" s="275">
        <f>+B20/$G$4</f>
        <v>44808.917073170735</v>
      </c>
      <c r="D20" s="364">
        <f>+Amarillo!A41</f>
        <v>37296</v>
      </c>
      <c r="E20" s="32" t="s">
        <v>85</v>
      </c>
      <c r="F20" s="32" t="s">
        <v>301</v>
      </c>
      <c r="G20" s="32" t="s">
        <v>113</v>
      </c>
      <c r="H20" s="32"/>
      <c r="I20" s="32"/>
      <c r="J20" s="32"/>
      <c r="K20" s="32"/>
      <c r="L20" s="32"/>
      <c r="M20" s="32" t="s">
        <v>244</v>
      </c>
      <c r="N20" s="379">
        <v>22864</v>
      </c>
      <c r="O20" s="70">
        <v>-58339.66</v>
      </c>
      <c r="P20" s="32" t="s">
        <v>247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31</v>
      </c>
      <c r="B21" s="345">
        <f>+C21*$G$5</f>
        <v>86297.52</v>
      </c>
      <c r="C21" s="275">
        <f>+Lonestar!F43</f>
        <v>41892</v>
      </c>
      <c r="D21" s="363">
        <f>+Lonestar!A43</f>
        <v>37297</v>
      </c>
      <c r="E21" s="32" t="s">
        <v>84</v>
      </c>
      <c r="F21" s="32" t="s">
        <v>301</v>
      </c>
      <c r="G21" s="32" t="s">
        <v>102</v>
      </c>
      <c r="H21" s="32"/>
      <c r="I21" s="15"/>
      <c r="J21" s="32"/>
      <c r="K21" s="32"/>
      <c r="L21" s="32"/>
      <c r="M21" s="32" t="s">
        <v>244</v>
      </c>
      <c r="N21" s="379">
        <v>20379</v>
      </c>
      <c r="O21" s="70">
        <v>-51695.87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114</v>
      </c>
      <c r="B22" s="345">
        <f>+C22*$G$4</f>
        <v>80556.799999999988</v>
      </c>
      <c r="C22" s="206">
        <f>+'PG&amp;E'!D40</f>
        <v>39296</v>
      </c>
      <c r="D22" s="364">
        <f>+'PG&amp;E'!A40</f>
        <v>37298</v>
      </c>
      <c r="E22" s="32" t="s">
        <v>84</v>
      </c>
      <c r="F22" s="32" t="s">
        <v>154</v>
      </c>
      <c r="G22" s="32" t="s">
        <v>102</v>
      </c>
      <c r="H22" s="32"/>
      <c r="I22" s="204"/>
      <c r="J22" s="32"/>
      <c r="K22" s="32"/>
      <c r="L22" s="32"/>
      <c r="M22" s="32" t="s">
        <v>244</v>
      </c>
      <c r="N22" s="379">
        <v>26357</v>
      </c>
      <c r="O22" s="70">
        <v>44144.84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139</v>
      </c>
      <c r="B23" s="345">
        <f>+'Citizens-Griffith'!D41</f>
        <v>72870.849999999991</v>
      </c>
      <c r="C23" s="275">
        <f t="shared" ref="C23:C34" si="0">+B23/$G$4</f>
        <v>35546.756097560974</v>
      </c>
      <c r="D23" s="363">
        <f>+'Citizens-Griffith'!A41</f>
        <v>37298</v>
      </c>
      <c r="E23" s="204" t="s">
        <v>85</v>
      </c>
      <c r="F23" s="204" t="s">
        <v>301</v>
      </c>
      <c r="G23" s="204" t="s">
        <v>99</v>
      </c>
      <c r="H23" s="204"/>
      <c r="I23" s="32"/>
      <c r="J23" s="32"/>
      <c r="K23" s="32"/>
      <c r="L23" s="32"/>
      <c r="M23" s="32" t="s">
        <v>244</v>
      </c>
      <c r="N23" s="379">
        <v>21544</v>
      </c>
      <c r="O23" s="70">
        <v>61340.160000000003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63" customFormat="1" ht="13.5" customHeight="1" x14ac:dyDescent="0.25">
      <c r="A24" s="204" t="s">
        <v>307</v>
      </c>
      <c r="B24" s="345">
        <f>+Plains!$N$43</f>
        <v>63241.56</v>
      </c>
      <c r="C24" s="206">
        <f>+B24/$G$4</f>
        <v>30849.541463414636</v>
      </c>
      <c r="D24" s="363">
        <f>+Plains!A43</f>
        <v>37287</v>
      </c>
      <c r="E24" s="204" t="s">
        <v>85</v>
      </c>
      <c r="F24" s="204"/>
      <c r="G24" s="204" t="s">
        <v>100</v>
      </c>
      <c r="H24" s="204" t="s">
        <v>308</v>
      </c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63" customFormat="1" ht="13.5" customHeight="1" x14ac:dyDescent="0.25">
      <c r="A25" s="32" t="s">
        <v>298</v>
      </c>
      <c r="B25" s="345">
        <f>+Stratland!$D$41</f>
        <v>48490.31</v>
      </c>
      <c r="C25" s="275">
        <f t="shared" si="0"/>
        <v>23653.809756097562</v>
      </c>
      <c r="D25" s="363">
        <f>+Stratland!A41</f>
        <v>37287</v>
      </c>
      <c r="E25" s="32" t="s">
        <v>85</v>
      </c>
      <c r="F25" s="32" t="s">
        <v>300</v>
      </c>
      <c r="G25" s="32" t="s">
        <v>102</v>
      </c>
      <c r="H25" s="32"/>
      <c r="I25" s="204"/>
      <c r="J25" s="204"/>
      <c r="K25" s="204"/>
      <c r="L25" s="204"/>
      <c r="M25" s="204" t="s">
        <v>245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63" customFormat="1" ht="13.5" customHeight="1" x14ac:dyDescent="0.25">
      <c r="A26" s="204" t="s">
        <v>127</v>
      </c>
      <c r="B26" s="345">
        <f>+Calpine!D41</f>
        <v>47344.899999999994</v>
      </c>
      <c r="C26" s="206">
        <f>+B26/$G$4</f>
        <v>23095.073170731706</v>
      </c>
      <c r="D26" s="363">
        <f>+Calpine!A41</f>
        <v>37298</v>
      </c>
      <c r="E26" s="204" t="s">
        <v>85</v>
      </c>
      <c r="F26" s="204" t="s">
        <v>153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204" t="s">
        <v>109</v>
      </c>
      <c r="B27" s="345">
        <f>+Continental!F43</f>
        <v>44498.090000000004</v>
      </c>
      <c r="C27" s="206">
        <f t="shared" si="0"/>
        <v>21706.385365853661</v>
      </c>
      <c r="D27" s="363">
        <f>+Continental!A43</f>
        <v>37297</v>
      </c>
      <c r="E27" s="204" t="s">
        <v>85</v>
      </c>
      <c r="F27" s="204" t="s">
        <v>154</v>
      </c>
      <c r="G27" s="204" t="s">
        <v>115</v>
      </c>
      <c r="H27" s="204"/>
      <c r="I27" s="204"/>
      <c r="J27" s="32"/>
      <c r="K27" s="32"/>
      <c r="L27" s="32"/>
      <c r="M27" s="32" t="s">
        <v>244</v>
      </c>
      <c r="N27" s="379">
        <v>26357</v>
      </c>
      <c r="O27" s="70">
        <v>44144.84</v>
      </c>
      <c r="P27" s="32" t="s">
        <v>247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63" customFormat="1" ht="13.5" customHeight="1" x14ac:dyDescent="0.25">
      <c r="A28" s="32" t="s">
        <v>23</v>
      </c>
      <c r="B28" s="345">
        <f>+C28*$G$3</f>
        <v>42508.1</v>
      </c>
      <c r="C28" s="347">
        <f>+'Red C'!$F$45</f>
        <v>20635</v>
      </c>
      <c r="D28" s="363">
        <f>+'Red C'!A45</f>
        <v>37298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204" t="s">
        <v>142</v>
      </c>
      <c r="B29" s="346">
        <f>+C29*$G$4</f>
        <v>41824.1</v>
      </c>
      <c r="C29" s="347">
        <f>+PEPL!D41</f>
        <v>20402</v>
      </c>
      <c r="D29" s="363">
        <f>+PEPL!A41</f>
        <v>37298</v>
      </c>
      <c r="E29" s="204" t="s">
        <v>84</v>
      </c>
      <c r="F29" s="204" t="s">
        <v>301</v>
      </c>
      <c r="G29" s="204" t="s">
        <v>100</v>
      </c>
      <c r="H29" s="32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110</v>
      </c>
      <c r="B30" s="345">
        <f>+C30*$G$4</f>
        <v>36053.35</v>
      </c>
      <c r="C30" s="275">
        <f>+CIG!D42</f>
        <v>17587</v>
      </c>
      <c r="D30" s="364">
        <f>+CIG!A42</f>
        <v>37298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63" customFormat="1" ht="13.5" customHeight="1" x14ac:dyDescent="0.25">
      <c r="A31" s="204" t="s">
        <v>87</v>
      </c>
      <c r="B31" s="345">
        <f>+NNG!$D$24</f>
        <v>34054.67</v>
      </c>
      <c r="C31" s="275">
        <f>+B31/$G$4</f>
        <v>16612.034146341462</v>
      </c>
      <c r="D31" s="363">
        <f>+NNG!A24</f>
        <v>37298</v>
      </c>
      <c r="E31" s="204" t="s">
        <v>85</v>
      </c>
      <c r="F31" s="204" t="s">
        <v>300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103</v>
      </c>
      <c r="B32" s="345">
        <f>+EOG!$J$41</f>
        <v>30994.91</v>
      </c>
      <c r="C32" s="275">
        <f t="shared" si="0"/>
        <v>15119.468292682928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204" t="s">
        <v>71</v>
      </c>
      <c r="B33" s="346">
        <f>+transcol!$D$43</f>
        <v>26188.35</v>
      </c>
      <c r="C33" s="347">
        <f t="shared" si="0"/>
        <v>12774.804878048781</v>
      </c>
      <c r="D33" s="363">
        <f>+transcol!A43</f>
        <v>37296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281</v>
      </c>
      <c r="B34" s="345">
        <f>+'WTG inc'!N43</f>
        <v>23978.959999999999</v>
      </c>
      <c r="C34" s="275">
        <f t="shared" si="0"/>
        <v>11697.053658536586</v>
      </c>
      <c r="D34" s="364">
        <f>+'WTG inc'!A43</f>
        <v>37296</v>
      </c>
      <c r="E34" s="32" t="s">
        <v>85</v>
      </c>
      <c r="F34" s="32" t="s">
        <v>153</v>
      </c>
      <c r="G34" s="32" t="s">
        <v>115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63" customFormat="1" ht="13.5" customHeight="1" x14ac:dyDescent="0.25">
      <c r="A35" s="32" t="s">
        <v>6</v>
      </c>
      <c r="B35" s="345">
        <f>+Oasis!$D$40</f>
        <v>14315.47</v>
      </c>
      <c r="C35" s="206">
        <f>+B35/$G$5</f>
        <v>6949.2572815533977</v>
      </c>
      <c r="D35" s="364">
        <f>+Oasis!A40</f>
        <v>37298</v>
      </c>
      <c r="E35" s="32" t="s">
        <v>85</v>
      </c>
      <c r="F35" s="32" t="s">
        <v>154</v>
      </c>
      <c r="G35" s="32" t="s">
        <v>102</v>
      </c>
      <c r="H35" s="32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204" t="s">
        <v>147</v>
      </c>
      <c r="B36" s="345">
        <f>+PGETX!$H$39</f>
        <v>13077.3</v>
      </c>
      <c r="C36" s="275">
        <f>+B36/$G$4</f>
        <v>6379.1707317073169</v>
      </c>
      <c r="D36" s="363">
        <f>+PGETX!E39</f>
        <v>37296</v>
      </c>
      <c r="E36" s="204" t="s">
        <v>85</v>
      </c>
      <c r="F36" s="204" t="s">
        <v>154</v>
      </c>
      <c r="G36" s="204" t="s">
        <v>102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" customHeight="1" x14ac:dyDescent="0.25">
      <c r="A37" s="32" t="s">
        <v>131</v>
      </c>
      <c r="B37" s="348">
        <f>+SidR!D41</f>
        <v>10238.459999999999</v>
      </c>
      <c r="C37" s="71">
        <f>+B37/$G$5</f>
        <v>4970.1262135922325</v>
      </c>
      <c r="D37" s="364">
        <f>+SidR!A41</f>
        <v>37292</v>
      </c>
      <c r="E37" s="32" t="s">
        <v>85</v>
      </c>
      <c r="F37" s="32" t="s">
        <v>152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5">
      <c r="A38" s="32" t="s">
        <v>96</v>
      </c>
      <c r="B38" s="47">
        <f>SUM(B8:B37)</f>
        <v>4342358.1399999997</v>
      </c>
      <c r="C38" s="69">
        <f>SUM(C8:C37)</f>
        <v>2116509.7771489462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4" t="s">
        <v>89</v>
      </c>
      <c r="B40" s="335" t="s">
        <v>16</v>
      </c>
      <c r="C40" s="336" t="s">
        <v>0</v>
      </c>
      <c r="D40" s="343" t="s">
        <v>146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135</v>
      </c>
      <c r="B41" s="345">
        <f>+Citizens!D18</f>
        <v>-550915.94000000006</v>
      </c>
      <c r="C41" s="206">
        <f>+B41/$G$4</f>
        <v>-268739.48292682931</v>
      </c>
      <c r="D41" s="363">
        <f>+Citizens!A18</f>
        <v>37297</v>
      </c>
      <c r="E41" s="204" t="s">
        <v>85</v>
      </c>
      <c r="F41" s="204" t="s">
        <v>301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133</v>
      </c>
      <c r="B42" s="345">
        <f>+'NS Steel'!D41</f>
        <v>-279253.90000000002</v>
      </c>
      <c r="C42" s="206">
        <f>+B42/$G$4</f>
        <v>-136221.41463414638</v>
      </c>
      <c r="D42" s="364">
        <f>+'NS Steel'!A41</f>
        <v>37298</v>
      </c>
      <c r="E42" s="32" t="s">
        <v>85</v>
      </c>
      <c r="F42" s="32" t="s">
        <v>154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258</v>
      </c>
      <c r="B43" s="345">
        <f>+MiVida_Rich!D41</f>
        <v>-192285.66</v>
      </c>
      <c r="C43" s="206">
        <f>+B43/$G$5</f>
        <v>-93342.553398058255</v>
      </c>
      <c r="D43" s="363">
        <f>+MiVida_Rich!A41</f>
        <v>37287</v>
      </c>
      <c r="E43" s="204" t="s">
        <v>85</v>
      </c>
      <c r="F43" s="204" t="s">
        <v>152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216</v>
      </c>
      <c r="B44" s="345">
        <f>+crosstex!F41</f>
        <v>-133309.54</v>
      </c>
      <c r="C44" s="206">
        <f>+B44/$G$4</f>
        <v>-65029.043902439036</v>
      </c>
      <c r="D44" s="364">
        <f>+crosstex!A41</f>
        <v>37298</v>
      </c>
      <c r="E44" s="32" t="s">
        <v>85</v>
      </c>
      <c r="F44" s="32" t="s">
        <v>152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64" customFormat="1" ht="13.5" customHeight="1" x14ac:dyDescent="0.25">
      <c r="A45" s="204" t="s">
        <v>313</v>
      </c>
      <c r="B45" s="346">
        <f>+Duke!B83</f>
        <v>-126143.4499999996</v>
      </c>
      <c r="C45" s="347">
        <f>+B45/$G$5</f>
        <v>-61234.684466019222</v>
      </c>
      <c r="D45" s="363">
        <f>+DEFS!A40</f>
        <v>37298</v>
      </c>
      <c r="E45" s="204" t="s">
        <v>85</v>
      </c>
      <c r="F45" s="32" t="s">
        <v>153</v>
      </c>
      <c r="G45" s="32" t="s">
        <v>100</v>
      </c>
      <c r="H45" s="32" t="s">
        <v>309</v>
      </c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5">
      <c r="A46" s="32" t="s">
        <v>1</v>
      </c>
      <c r="B46" s="345">
        <f>+C46*$G$3</f>
        <v>-92306.540000000008</v>
      </c>
      <c r="C46" s="206">
        <f>+NW!$F$41</f>
        <v>-44809</v>
      </c>
      <c r="D46" s="363">
        <f>+NW!B41</f>
        <v>37298</v>
      </c>
      <c r="E46" s="32" t="s">
        <v>84</v>
      </c>
      <c r="F46" s="32" t="s">
        <v>153</v>
      </c>
      <c r="G46" s="32" t="s">
        <v>115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63" customFormat="1" ht="13.5" customHeight="1" x14ac:dyDescent="0.25">
      <c r="A47" s="204" t="s">
        <v>95</v>
      </c>
      <c r="B47" s="345">
        <f>+burlington!D42</f>
        <v>-63193.96</v>
      </c>
      <c r="C47" s="275">
        <f>+B47/$G$3</f>
        <v>-30676.679611650485</v>
      </c>
      <c r="D47" s="363">
        <f>+burlington!A42</f>
        <v>37290</v>
      </c>
      <c r="E47" s="204" t="s">
        <v>85</v>
      </c>
      <c r="F47" s="32" t="s">
        <v>154</v>
      </c>
      <c r="G47" s="32" t="s">
        <v>113</v>
      </c>
      <c r="H47" s="32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204" t="s">
        <v>204</v>
      </c>
      <c r="B48" s="346">
        <f>+WTGmktg!J43</f>
        <v>-34633.42</v>
      </c>
      <c r="C48" s="206">
        <f>+B48/$G$4</f>
        <v>-16894.351219512195</v>
      </c>
      <c r="D48" s="363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 t="s">
        <v>244</v>
      </c>
      <c r="N48" s="379">
        <v>23995</v>
      </c>
      <c r="O48" s="70">
        <v>-1023166</v>
      </c>
      <c r="P48" s="32" t="s">
        <v>246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32" t="s">
        <v>278</v>
      </c>
      <c r="B49" s="345">
        <f>+SWGasTrans!$D$41</f>
        <v>-26328.42</v>
      </c>
      <c r="C49" s="275">
        <f>+B49/$G$4</f>
        <v>-12843.131707317074</v>
      </c>
      <c r="D49" s="363">
        <f>+SWGasTrans!A41</f>
        <v>37298</v>
      </c>
      <c r="E49" s="32" t="s">
        <v>85</v>
      </c>
      <c r="F49" s="32" t="s">
        <v>153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63" customFormat="1" ht="13.5" customHeight="1" x14ac:dyDescent="0.25">
      <c r="A50" s="204" t="s">
        <v>28</v>
      </c>
      <c r="B50" s="345">
        <f>+C50*$G$3</f>
        <v>-26059</v>
      </c>
      <c r="C50" s="275">
        <f>+williams!J40</f>
        <v>-12650</v>
      </c>
      <c r="D50" s="363">
        <f>+williams!A40</f>
        <v>37297</v>
      </c>
      <c r="E50" s="204" t="s">
        <v>85</v>
      </c>
      <c r="F50" s="204" t="s">
        <v>154</v>
      </c>
      <c r="G50" s="204" t="s">
        <v>291</v>
      </c>
      <c r="H50" s="204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63" customFormat="1" ht="13.5" customHeight="1" x14ac:dyDescent="0.25">
      <c r="A51" s="32" t="s">
        <v>210</v>
      </c>
      <c r="B51" s="345">
        <f>+Devon!D41</f>
        <v>-14094.52</v>
      </c>
      <c r="C51" s="275">
        <f>+B51/$G$5</f>
        <v>-6842</v>
      </c>
      <c r="D51" s="364">
        <f>+Devon!A41</f>
        <v>37297</v>
      </c>
      <c r="E51" s="32" t="s">
        <v>85</v>
      </c>
      <c r="F51" s="32" t="s">
        <v>301</v>
      </c>
      <c r="G51" s="32" t="s">
        <v>99</v>
      </c>
      <c r="H51" s="32" t="s">
        <v>314</v>
      </c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63" customFormat="1" ht="13.5" customHeight="1" x14ac:dyDescent="0.25">
      <c r="A52" s="32" t="s">
        <v>289</v>
      </c>
      <c r="B52" s="348">
        <f>+C52*$G$3</f>
        <v>-8091.68</v>
      </c>
      <c r="C52" s="71">
        <f>+Amoco!D40</f>
        <v>-3928</v>
      </c>
      <c r="D52" s="364">
        <f>+Amoco!A40</f>
        <v>37298</v>
      </c>
      <c r="E52" s="32" t="s">
        <v>84</v>
      </c>
      <c r="F52" s="32" t="s">
        <v>153</v>
      </c>
      <c r="G52" s="32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SUM(B41:B52)</f>
        <v>-1546616.0299999996</v>
      </c>
      <c r="C53" s="206">
        <f>SUM(C41:C52)</f>
        <v>-753210.34186597203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+B53+B38</f>
        <v>2795742.1100000003</v>
      </c>
      <c r="C55" s="354">
        <f>+C53+C38</f>
        <v>1363299.435282974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266</v>
      </c>
      <c r="B77" s="598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267</v>
      </c>
      <c r="B78" s="598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268</v>
      </c>
      <c r="B79" s="598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269</v>
      </c>
      <c r="B80" s="598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271</v>
      </c>
      <c r="B81" s="603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273</v>
      </c>
      <c r="B82" s="578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274</v>
      </c>
      <c r="B83" s="517">
        <v>8356.0499999999993</v>
      </c>
      <c r="C83" s="565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275</v>
      </c>
      <c r="B84" s="604">
        <f>775*2.08</f>
        <v>1612</v>
      </c>
      <c r="C84" s="565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272</v>
      </c>
      <c r="B85" s="15">
        <f>44144.84-58339.66</f>
        <v>-14194.820000000007</v>
      </c>
      <c r="C85" s="565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272</v>
      </c>
      <c r="B86" s="15">
        <v>-51695.87</v>
      </c>
      <c r="C86" s="565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272</v>
      </c>
      <c r="B87" s="15">
        <v>61340.160000000003</v>
      </c>
      <c r="C87" s="565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293</v>
      </c>
      <c r="B88" s="578">
        <v>-1702.75</v>
      </c>
      <c r="C88" s="565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279</v>
      </c>
      <c r="B89" s="578">
        <v>-1664.28</v>
      </c>
      <c r="C89" s="565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264</v>
      </c>
      <c r="B90" s="519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294</v>
      </c>
      <c r="B92" s="602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295</v>
      </c>
      <c r="B93" s="518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-32293.820000000007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D32" sqref="D3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-336606</v>
      </c>
      <c r="C7" s="80">
        <v>-132491</v>
      </c>
      <c r="D7" s="80">
        <f t="shared" si="0"/>
        <v>204115</v>
      </c>
    </row>
    <row r="8" spans="1:4" x14ac:dyDescent="0.2">
      <c r="A8" s="32">
        <v>60667</v>
      </c>
      <c r="B8" s="309">
        <v>-17</v>
      </c>
      <c r="C8" s="80">
        <v>-402073</v>
      </c>
      <c r="D8" s="80">
        <f t="shared" si="0"/>
        <v>-402056</v>
      </c>
    </row>
    <row r="9" spans="1:4" x14ac:dyDescent="0.2">
      <c r="A9" s="32">
        <v>60749</v>
      </c>
      <c r="B9" s="309">
        <v>48196</v>
      </c>
      <c r="C9" s="80">
        <v>-22463</v>
      </c>
      <c r="D9" s="80">
        <f t="shared" si="0"/>
        <v>-70659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-280092</v>
      </c>
      <c r="C11" s="80"/>
      <c r="D11" s="80">
        <f t="shared" si="0"/>
        <v>280092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11492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23558.6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7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37298</v>
      </c>
      <c r="B24" s="69"/>
      <c r="C24" s="69"/>
      <c r="D24" s="331">
        <f>+D22+D20</f>
        <v>34054.67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94">
        <v>4346</v>
      </c>
    </row>
    <row r="33" spans="1:4" x14ac:dyDescent="0.2">
      <c r="A33" s="49">
        <f>+A24</f>
        <v>37298</v>
      </c>
      <c r="D33" s="349">
        <f>+D18</f>
        <v>11492</v>
      </c>
    </row>
    <row r="34" spans="1:4" x14ac:dyDescent="0.2">
      <c r="D34" s="14">
        <f>+D33+D32</f>
        <v>15838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-47885</v>
      </c>
      <c r="C5" s="90">
        <v>-21618</v>
      </c>
      <c r="D5" s="90">
        <f t="shared" ref="D5:D13" si="0">+C5-B5</f>
        <v>26267</v>
      </c>
      <c r="E5" s="69"/>
      <c r="F5" s="201"/>
    </row>
    <row r="6" spans="1:13" x14ac:dyDescent="0.25">
      <c r="A6" s="87">
        <v>9238</v>
      </c>
      <c r="B6" s="90">
        <v>-11483</v>
      </c>
      <c r="C6" s="90">
        <v>-11000</v>
      </c>
      <c r="D6" s="90">
        <f t="shared" si="0"/>
        <v>483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-981678-78691</f>
        <v>-1060369</v>
      </c>
      <c r="C7" s="90">
        <v>-897976</v>
      </c>
      <c r="D7" s="90">
        <f t="shared" si="0"/>
        <v>162393</v>
      </c>
      <c r="E7" s="275"/>
      <c r="F7" s="201"/>
    </row>
    <row r="8" spans="1:13" x14ac:dyDescent="0.25">
      <c r="A8" s="87">
        <v>58710</v>
      </c>
      <c r="B8" s="90">
        <v>-4936</v>
      </c>
      <c r="C8" s="90">
        <v>-31148</v>
      </c>
      <c r="D8" s="90">
        <f t="shared" si="0"/>
        <v>-26212</v>
      </c>
      <c r="E8" s="275"/>
      <c r="F8" s="201"/>
    </row>
    <row r="9" spans="1:13" x14ac:dyDescent="0.25">
      <c r="A9" s="87">
        <v>60921</v>
      </c>
      <c r="B9" s="90">
        <v>-832321</v>
      </c>
      <c r="C9" s="90">
        <v>-964968</v>
      </c>
      <c r="D9" s="90">
        <f t="shared" si="0"/>
        <v>-132647</v>
      </c>
      <c r="E9" s="275"/>
      <c r="F9" s="201"/>
    </row>
    <row r="10" spans="1:13" x14ac:dyDescent="0.25">
      <c r="A10" s="87">
        <v>78026</v>
      </c>
      <c r="B10" s="90"/>
      <c r="C10" s="90">
        <v>6050</v>
      </c>
      <c r="D10" s="90">
        <f t="shared" si="0"/>
        <v>6050</v>
      </c>
      <c r="E10" s="275"/>
      <c r="F10" s="465"/>
    </row>
    <row r="11" spans="1:13" x14ac:dyDescent="0.25">
      <c r="A11" s="87">
        <v>500084</v>
      </c>
      <c r="B11" s="90">
        <v>-25859</v>
      </c>
      <c r="C11" s="90">
        <v>-33000</v>
      </c>
      <c r="D11" s="90">
        <f t="shared" si="0"/>
        <v>-7141</v>
      </c>
      <c r="E11" s="276"/>
      <c r="F11" s="465"/>
    </row>
    <row r="12" spans="1:13" x14ac:dyDescent="0.25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5">
      <c r="A13" s="87">
        <v>500097</v>
      </c>
      <c r="B13" s="90">
        <v>-39982</v>
      </c>
      <c r="C13" s="90">
        <v>-44000</v>
      </c>
      <c r="D13" s="90">
        <f t="shared" si="0"/>
        <v>-4018</v>
      </c>
      <c r="E13" s="275"/>
      <c r="F13" s="465"/>
    </row>
    <row r="14" spans="1:13" x14ac:dyDescent="0.25">
      <c r="A14" s="87"/>
      <c r="B14" s="90"/>
      <c r="C14" s="90"/>
      <c r="D14" s="90"/>
      <c r="E14" s="275"/>
      <c r="F14" s="465"/>
    </row>
    <row r="15" spans="1:13" x14ac:dyDescent="0.25">
      <c r="A15" s="87"/>
      <c r="B15" s="90"/>
      <c r="C15" s="90"/>
      <c r="D15" s="90"/>
      <c r="E15" s="275"/>
      <c r="F15" s="465"/>
    </row>
    <row r="16" spans="1:13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28764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2.0499999999999998</v>
      </c>
      <c r="E18" s="277"/>
      <c r="F18" s="465"/>
    </row>
    <row r="19" spans="1:7" x14ac:dyDescent="0.25">
      <c r="A19" s="87"/>
      <c r="B19" s="88"/>
      <c r="C19" s="88"/>
      <c r="D19" s="96">
        <f>+D18*D17</f>
        <v>58966.2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71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37298</v>
      </c>
      <c r="B23" s="88"/>
      <c r="C23" s="88"/>
      <c r="D23" s="318">
        <f>+D21+D19</f>
        <v>894310.44</v>
      </c>
      <c r="E23" s="207"/>
      <c r="F23" s="466"/>
    </row>
    <row r="24" spans="1:7" ht="13.8" thickTop="1" x14ac:dyDescent="0.25">
      <c r="E24" s="278"/>
    </row>
    <row r="25" spans="1:7" x14ac:dyDescent="0.25">
      <c r="E25" s="500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6">
        <v>340221</v>
      </c>
    </row>
    <row r="29" spans="1:7" x14ac:dyDescent="0.25">
      <c r="A29" s="49">
        <f>+A23</f>
        <v>37298</v>
      </c>
      <c r="B29" s="32"/>
      <c r="C29" s="32"/>
      <c r="D29" s="349">
        <f>+D17</f>
        <v>28764</v>
      </c>
    </row>
    <row r="30" spans="1:7" x14ac:dyDescent="0.25">
      <c r="A30" s="32"/>
      <c r="B30" s="32"/>
      <c r="C30" s="32"/>
      <c r="D30" s="14">
        <f>+D29+D28</f>
        <v>368985</v>
      </c>
      <c r="E30" s="344"/>
    </row>
    <row r="31" spans="1:7" x14ac:dyDescent="0.25">
      <c r="A31" s="139"/>
      <c r="B31" s="119"/>
      <c r="C31" s="140"/>
      <c r="D31" s="527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2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449557</v>
      </c>
      <c r="C34" s="287">
        <f t="shared" si="2"/>
        <v>449953</v>
      </c>
      <c r="D34" s="14">
        <f t="shared" si="2"/>
        <v>0</v>
      </c>
      <c r="E34" s="14">
        <f t="shared" si="2"/>
        <v>-1752</v>
      </c>
      <c r="F34" s="14">
        <f t="shared" si="2"/>
        <v>285088</v>
      </c>
      <c r="G34" s="14">
        <f t="shared" si="2"/>
        <v>266406</v>
      </c>
      <c r="H34" s="14">
        <f t="shared" si="2"/>
        <v>-20038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90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85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51">
        <v>37298</v>
      </c>
      <c r="B38" s="14"/>
      <c r="C38" s="14"/>
      <c r="D38" s="14"/>
      <c r="E38" s="14"/>
      <c r="F38" s="14"/>
      <c r="G38" s="14"/>
      <c r="H38" s="150">
        <f>+H37+H34</f>
        <v>115428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82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37298</v>
      </c>
      <c r="B44" s="32"/>
      <c r="C44" s="32"/>
      <c r="D44" s="374">
        <f>+H34*'by type_area'!G4</f>
        <v>-41077.899999999994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294689.65000000002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B36" sqref="B36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-224370</v>
      </c>
      <c r="C35" s="11">
        <f>SUM(C4:C34)</f>
        <v>-219004</v>
      </c>
      <c r="D35" s="11">
        <f>SUM(D4:D34)</f>
        <v>5366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9">
        <v>177959</v>
      </c>
    </row>
    <row r="39" spans="1:4" x14ac:dyDescent="0.25">
      <c r="A39" s="2"/>
      <c r="D39" s="24"/>
    </row>
    <row r="40" spans="1:4" x14ac:dyDescent="0.25">
      <c r="A40" s="57">
        <v>37298</v>
      </c>
      <c r="D40" s="51">
        <f>+D38+D35</f>
        <v>183325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8">
        <v>181376</v>
      </c>
    </row>
    <row r="46" spans="1:4" x14ac:dyDescent="0.25">
      <c r="A46" s="49">
        <f>+A40</f>
        <v>37298</v>
      </c>
      <c r="B46" s="32"/>
      <c r="C46" s="32"/>
      <c r="D46" s="374">
        <f>+D35*'by type_area'!G4</f>
        <v>11000.3</v>
      </c>
    </row>
    <row r="47" spans="1:4" x14ac:dyDescent="0.25">
      <c r="A47" s="32"/>
      <c r="B47" s="32"/>
      <c r="C47" s="32"/>
      <c r="D47" s="200">
        <f>+D46+D45</f>
        <v>192376.3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52" sqref="C5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12148.3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37297</v>
      </c>
      <c r="J41" s="319">
        <f>+J39+J37</f>
        <v>30994.91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7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6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5">
      <c r="A40" s="26"/>
      <c r="C40" s="14"/>
      <c r="F40" s="253">
        <f>+summary!G4</f>
        <v>2.0499999999999998</v>
      </c>
    </row>
    <row r="41" spans="1:6" x14ac:dyDescent="0.25">
      <c r="F41" s="138">
        <f>+F40*F39</f>
        <v>1707.6499999999999</v>
      </c>
    </row>
    <row r="42" spans="1:6" x14ac:dyDescent="0.25">
      <c r="A42" s="57">
        <v>37287</v>
      </c>
      <c r="C42" s="15"/>
      <c r="F42" s="579">
        <v>42790.44</v>
      </c>
    </row>
    <row r="43" spans="1:6" x14ac:dyDescent="0.25">
      <c r="A43" s="57">
        <v>37297</v>
      </c>
      <c r="C43" s="48"/>
      <c r="F43" s="138">
        <f>+F42+F41</f>
        <v>44498.090000000004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6">
        <v>4581</v>
      </c>
    </row>
    <row r="49" spans="1:4" x14ac:dyDescent="0.25">
      <c r="A49" s="49">
        <f>+A43</f>
        <v>37297</v>
      </c>
      <c r="B49" s="32"/>
      <c r="C49" s="32"/>
      <c r="D49" s="349">
        <f>+F39</f>
        <v>833</v>
      </c>
    </row>
    <row r="50" spans="1:4" x14ac:dyDescent="0.25">
      <c r="A50" s="32"/>
      <c r="B50" s="32"/>
      <c r="C50" s="32"/>
      <c r="D50" s="14">
        <f>+D49+D48</f>
        <v>5414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37298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37298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37" sqref="C37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-627050</v>
      </c>
      <c r="I19" s="119">
        <f>+C37</f>
        <v>-602872</v>
      </c>
      <c r="J19" s="119">
        <f>+I19-H19</f>
        <v>24178</v>
      </c>
      <c r="K19" s="411">
        <f>+D38</f>
        <v>2.0499999999999998</v>
      </c>
      <c r="L19" s="416">
        <f>+K19*J19</f>
        <v>49564.899999999994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154670</v>
      </c>
      <c r="K24" s="407"/>
      <c r="L24" s="110">
        <f>+L19+L17</f>
        <v>131249.99999999983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64024.390243902359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-627050</v>
      </c>
      <c r="C37" s="11">
        <f>SUM(C6:C36)</f>
        <v>-602872</v>
      </c>
      <c r="D37" s="25">
        <f>SUM(D6:D36)</f>
        <v>24178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49564.899999999994</v>
      </c>
    </row>
    <row r="40" spans="1:4" x14ac:dyDescent="0.25">
      <c r="A40" s="57">
        <v>37287</v>
      </c>
      <c r="C40" s="15"/>
      <c r="D40" s="599">
        <v>-2220</v>
      </c>
    </row>
    <row r="41" spans="1:4" x14ac:dyDescent="0.25">
      <c r="A41" s="57">
        <v>37298</v>
      </c>
      <c r="C41" s="48"/>
      <c r="D41" s="138">
        <f>+D40+D39</f>
        <v>47344.899999999994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600">
        <v>86032</v>
      </c>
    </row>
    <row r="46" spans="1:4" x14ac:dyDescent="0.25">
      <c r="A46" s="49">
        <f>+A41</f>
        <v>37298</v>
      </c>
      <c r="B46" s="32"/>
      <c r="C46" s="32"/>
      <c r="D46" s="349">
        <f>+D37</f>
        <v>24178</v>
      </c>
    </row>
    <row r="47" spans="1:4" x14ac:dyDescent="0.25">
      <c r="A47" s="32"/>
      <c r="B47" s="32"/>
      <c r="C47" s="32"/>
      <c r="D47" s="14">
        <f>+D46+D45</f>
        <v>110210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372750</v>
      </c>
      <c r="C37" s="11">
        <f>SUM(C6:C36)</f>
        <v>389375</v>
      </c>
      <c r="D37" s="25">
        <f>SUM(D6:D36)</f>
        <v>16625</v>
      </c>
    </row>
    <row r="38" spans="1:4" x14ac:dyDescent="0.25">
      <c r="A38" s="26"/>
      <c r="B38" s="31"/>
      <c r="C38" s="14"/>
      <c r="D38" s="326">
        <f>+summary!G5</f>
        <v>2.06</v>
      </c>
    </row>
    <row r="39" spans="1:4" x14ac:dyDescent="0.25">
      <c r="D39" s="138">
        <f>+D38*D37</f>
        <v>34247.5</v>
      </c>
    </row>
    <row r="40" spans="1:4" x14ac:dyDescent="0.25">
      <c r="A40" s="57">
        <v>37287</v>
      </c>
      <c r="C40" s="15"/>
      <c r="D40" s="599">
        <v>100916</v>
      </c>
    </row>
    <row r="41" spans="1:4" x14ac:dyDescent="0.25">
      <c r="A41" s="57">
        <v>37298</v>
      </c>
      <c r="C41" s="48"/>
      <c r="D41" s="138">
        <f>+D40+D39</f>
        <v>135163.5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600">
        <v>62232</v>
      </c>
    </row>
    <row r="46" spans="1:4" x14ac:dyDescent="0.25">
      <c r="A46" s="49">
        <f>+A41</f>
        <v>37298</v>
      </c>
      <c r="B46" s="32"/>
      <c r="C46" s="32"/>
      <c r="D46" s="349">
        <f>+D37</f>
        <v>16625</v>
      </c>
    </row>
    <row r="47" spans="1:4" x14ac:dyDescent="0.25">
      <c r="A47" s="32"/>
      <c r="B47" s="32"/>
      <c r="C47" s="32"/>
      <c r="D47" s="14">
        <f>+D46+D45</f>
        <v>78857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4" workbookViewId="0">
      <selection activeCell="D47" sqref="D47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3166713</v>
      </c>
      <c r="C35" s="11">
        <f t="shared" ref="C35:I35" si="3">SUM(C4:C34)</f>
        <v>3180603</v>
      </c>
      <c r="D35" s="11">
        <f t="shared" si="3"/>
        <v>322205</v>
      </c>
      <c r="E35" s="11">
        <f t="shared" si="3"/>
        <v>321957</v>
      </c>
      <c r="F35" s="11">
        <f t="shared" si="3"/>
        <v>395908</v>
      </c>
      <c r="G35" s="11">
        <f t="shared" si="3"/>
        <v>392772</v>
      </c>
      <c r="H35" s="11">
        <f t="shared" si="3"/>
        <v>1243048</v>
      </c>
      <c r="I35" s="11">
        <f t="shared" si="3"/>
        <v>1219892</v>
      </c>
      <c r="J35" s="11">
        <f>SUM(J4:J34)</f>
        <v>-12650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80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37297</v>
      </c>
      <c r="J40" s="51">
        <f>+J38+J35</f>
        <v>-12650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83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37297</v>
      </c>
      <c r="B47" s="32"/>
      <c r="C47" s="32"/>
      <c r="D47" s="374">
        <f>+J35*'by type_area'!G3</f>
        <v>-26059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-26059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67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67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68"/>
    </row>
    <row r="11" spans="1:6" x14ac:dyDescent="0.25">
      <c r="A11" s="10">
        <v>6</v>
      </c>
      <c r="B11" s="11"/>
      <c r="C11" s="11"/>
      <c r="D11" s="25">
        <f t="shared" si="0"/>
        <v>0</v>
      </c>
      <c r="F11" s="568"/>
    </row>
    <row r="12" spans="1:6" x14ac:dyDescent="0.25">
      <c r="A12" s="10">
        <v>7</v>
      </c>
      <c r="B12" s="11"/>
      <c r="C12" s="11"/>
      <c r="D12" s="25">
        <f t="shared" si="0"/>
        <v>0</v>
      </c>
      <c r="F12" s="568"/>
    </row>
    <row r="13" spans="1:6" x14ac:dyDescent="0.25">
      <c r="A13" s="10">
        <v>8</v>
      </c>
      <c r="B13" s="11"/>
      <c r="C13" s="11"/>
      <c r="D13" s="25">
        <f t="shared" si="0"/>
        <v>0</v>
      </c>
      <c r="F13" s="568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5852.46</v>
      </c>
    </row>
    <row r="40" spans="1:4" x14ac:dyDescent="0.25">
      <c r="A40" s="57">
        <v>37287</v>
      </c>
      <c r="C40" s="15"/>
      <c r="D40" s="521">
        <v>4386</v>
      </c>
    </row>
    <row r="41" spans="1:4" x14ac:dyDescent="0.25">
      <c r="A41" s="57">
        <v>37292</v>
      </c>
      <c r="C41" s="48"/>
      <c r="D41" s="138">
        <f>+D40+D39</f>
        <v>10238.459999999999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16">
        <v>1925</v>
      </c>
    </row>
    <row r="47" spans="1:4" x14ac:dyDescent="0.25">
      <c r="A47" s="49">
        <f>+A41</f>
        <v>37292</v>
      </c>
      <c r="B47" s="32"/>
      <c r="C47" s="32"/>
      <c r="D47" s="349">
        <f>+D37</f>
        <v>2841</v>
      </c>
    </row>
    <row r="48" spans="1:4" x14ac:dyDescent="0.25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A41" sqref="A4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-13184</v>
      </c>
      <c r="C37" s="11">
        <f>SUM(C6:C36)</f>
        <v>-6562</v>
      </c>
      <c r="D37" s="25">
        <f>SUM(D6:D36)</f>
        <v>6622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13575.099999999999</v>
      </c>
    </row>
    <row r="40" spans="1:4" x14ac:dyDescent="0.25">
      <c r="A40" s="57">
        <v>37287</v>
      </c>
      <c r="C40" s="15"/>
      <c r="D40" s="579">
        <v>-292829</v>
      </c>
    </row>
    <row r="41" spans="1:4" x14ac:dyDescent="0.25">
      <c r="A41" s="57">
        <v>37298</v>
      </c>
      <c r="C41" s="48"/>
      <c r="D41" s="138">
        <f>+D40+D39</f>
        <v>-279253.90000000002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76">
        <v>-14344</v>
      </c>
    </row>
    <row r="49" spans="1:4" x14ac:dyDescent="0.25">
      <c r="A49" s="49">
        <f>+A41</f>
        <v>37298</v>
      </c>
      <c r="B49" s="32"/>
      <c r="C49" s="32"/>
      <c r="D49" s="349">
        <f>+D37</f>
        <v>6622</v>
      </c>
    </row>
    <row r="50" spans="1:4" x14ac:dyDescent="0.25">
      <c r="A50" s="32"/>
      <c r="B50" s="32"/>
      <c r="C50" s="32"/>
      <c r="D50" s="14">
        <f>+D49+D48</f>
        <v>-7722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17" sqref="C1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-485692</v>
      </c>
      <c r="C37" s="11">
        <f>SUM(C6:C36)</f>
        <v>-461671</v>
      </c>
      <c r="D37" s="25">
        <f>SUM(D6:D36)</f>
        <v>24021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49243.049999999996</v>
      </c>
    </row>
    <row r="40" spans="1:4" x14ac:dyDescent="0.25">
      <c r="A40" s="57">
        <v>37287</v>
      </c>
      <c r="C40" s="15"/>
      <c r="D40" s="579">
        <v>23627.8</v>
      </c>
    </row>
    <row r="41" spans="1:4" x14ac:dyDescent="0.25">
      <c r="A41" s="57">
        <v>37298</v>
      </c>
      <c r="C41" s="48"/>
      <c r="D41" s="138">
        <f>+D40+D39</f>
        <v>72870.849999999991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76">
        <v>14942</v>
      </c>
    </row>
    <row r="47" spans="1:4" x14ac:dyDescent="0.25">
      <c r="A47" s="49">
        <f>+A41</f>
        <v>37298</v>
      </c>
      <c r="B47" s="32"/>
      <c r="C47" s="32"/>
      <c r="D47" s="349">
        <f>+D37</f>
        <v>24021</v>
      </c>
    </row>
    <row r="48" spans="1:4" x14ac:dyDescent="0.25">
      <c r="A48" s="32"/>
      <c r="B48" s="32"/>
      <c r="C48" s="32"/>
      <c r="D48" s="14">
        <f>+D47+D46</f>
        <v>38963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5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-1783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5">
      <c r="A14" s="87"/>
      <c r="B14" s="88"/>
      <c r="C14" s="88"/>
      <c r="D14" s="96">
        <f>+D13*D12</f>
        <v>-3655.1499999999996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20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37297</v>
      </c>
      <c r="B18" s="88"/>
      <c r="C18" s="88"/>
      <c r="D18" s="318">
        <f>+D16+D14</f>
        <v>-550915.94000000006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76">
        <v>-41423</v>
      </c>
    </row>
    <row r="23" spans="1:7" x14ac:dyDescent="0.25">
      <c r="A23" s="49"/>
      <c r="B23" s="32"/>
      <c r="C23" s="32"/>
      <c r="D23" s="349">
        <f>+D12</f>
        <v>-1783</v>
      </c>
    </row>
    <row r="24" spans="1:7" x14ac:dyDescent="0.25">
      <c r="A24" s="49">
        <f>+A18</f>
        <v>37297</v>
      </c>
      <c r="B24" s="32"/>
      <c r="C24" s="32"/>
      <c r="D24" s="14">
        <f>+D23+D22</f>
        <v>-43206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C38" sqref="C38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-514227</v>
      </c>
      <c r="C37" s="11">
        <f>SUM(C6:C36)</f>
        <v>-513417</v>
      </c>
      <c r="D37" s="25">
        <f>SUM(D6:D36)</f>
        <v>810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80">
        <v>19592</v>
      </c>
    </row>
    <row r="41" spans="1:4" x14ac:dyDescent="0.25">
      <c r="A41" s="57">
        <v>37298</v>
      </c>
      <c r="C41" s="48"/>
      <c r="D41" s="25">
        <f>+D40+D37</f>
        <v>20402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4">
        <v>186633</v>
      </c>
    </row>
    <row r="46" spans="1:4" x14ac:dyDescent="0.25">
      <c r="A46" s="49">
        <f>+A41</f>
        <v>37298</v>
      </c>
      <c r="B46" s="32"/>
      <c r="C46" s="32"/>
      <c r="D46" s="374">
        <f>+D37*'by type_area'!G4</f>
        <v>1660.4999999999998</v>
      </c>
    </row>
    <row r="47" spans="1:4" x14ac:dyDescent="0.25">
      <c r="A47" s="32"/>
      <c r="B47" s="32"/>
      <c r="C47" s="32"/>
      <c r="D47" s="200">
        <f>+D46+D45</f>
        <v>188293.5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9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0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82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37290</v>
      </c>
      <c r="J43" s="319">
        <f>+J41+J39</f>
        <v>-34633.42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76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280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-1207.4499999999998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37296</v>
      </c>
      <c r="N43" s="319">
        <f>+N41+N39</f>
        <v>23978.959999999999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1971</v>
      </c>
      <c r="C37" s="11">
        <f>SUM(C6:C36)</f>
        <v>1650</v>
      </c>
      <c r="D37" s="25">
        <f>SUM(D6:D36)</f>
        <v>-321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-661.26</v>
      </c>
    </row>
    <row r="40" spans="1:4" x14ac:dyDescent="0.25">
      <c r="A40" s="57">
        <v>37287</v>
      </c>
      <c r="C40" s="15"/>
      <c r="D40" s="599">
        <v>174593.14</v>
      </c>
    </row>
    <row r="41" spans="1:4" x14ac:dyDescent="0.25">
      <c r="A41" s="57">
        <v>37298</v>
      </c>
      <c r="C41" s="48"/>
      <c r="D41" s="138">
        <f>+D40+D39</f>
        <v>173931.88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0">
        <v>76390</v>
      </c>
    </row>
    <row r="47" spans="1:4" x14ac:dyDescent="0.25">
      <c r="A47" s="49">
        <f>+A41</f>
        <v>37298</v>
      </c>
      <c r="B47" s="32"/>
      <c r="C47" s="32"/>
      <c r="D47" s="349">
        <f>+D37</f>
        <v>-321</v>
      </c>
    </row>
    <row r="48" spans="1:4" x14ac:dyDescent="0.25">
      <c r="A48" s="32"/>
      <c r="B48" s="32"/>
      <c r="C48" s="32"/>
      <c r="D48" s="14">
        <f>+D47+D46</f>
        <v>76069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8642</v>
      </c>
      <c r="C37" s="11">
        <f>SUM(C6:C36)</f>
        <v>1800</v>
      </c>
      <c r="D37" s="25">
        <f>SUM(D6:D36)</f>
        <v>-6842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-14094.52</v>
      </c>
    </row>
    <row r="40" spans="1:4" x14ac:dyDescent="0.25">
      <c r="A40" s="57">
        <v>37287</v>
      </c>
      <c r="C40" s="15"/>
      <c r="D40" s="599">
        <v>0</v>
      </c>
    </row>
    <row r="41" spans="1:4" x14ac:dyDescent="0.25">
      <c r="A41" s="57">
        <v>37297</v>
      </c>
      <c r="C41" s="48"/>
      <c r="D41" s="138">
        <f>+D40+D39</f>
        <v>-14094.52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0">
        <v>0</v>
      </c>
    </row>
    <row r="47" spans="1:4" x14ac:dyDescent="0.25">
      <c r="A47" s="49">
        <f>+A41</f>
        <v>37297</v>
      </c>
      <c r="B47" s="32"/>
      <c r="C47" s="32"/>
      <c r="D47" s="349">
        <f>+D37</f>
        <v>-6842</v>
      </c>
    </row>
    <row r="48" spans="1:4" x14ac:dyDescent="0.25">
      <c r="A48" s="32"/>
      <c r="B48" s="32"/>
      <c r="C48" s="32"/>
      <c r="D48" s="14">
        <f>+D47+D46</f>
        <v>-6842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10" workbookViewId="0">
      <selection activeCell="D14" sqref="D1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9" t="s">
        <v>49</v>
      </c>
      <c r="P9" s="570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/>
      <c r="E14" s="11"/>
      <c r="F14" s="11">
        <f t="shared" si="0"/>
        <v>-133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-94997</v>
      </c>
      <c r="C36" s="44">
        <f>SUM(C5:C35)</f>
        <v>-90000</v>
      </c>
      <c r="D36" s="43">
        <f>SUM(D5:D35)</f>
        <v>-420685</v>
      </c>
      <c r="E36" s="43">
        <f>SUM(E5:E35)</f>
        <v>-418470</v>
      </c>
      <c r="F36" s="11">
        <f>SUM(F5:F35)</f>
        <v>7212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90">
        <f>+summary!G5</f>
        <v>2.06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14856.720000000001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74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37297</v>
      </c>
      <c r="B43" s="32"/>
      <c r="C43" s="106"/>
      <c r="D43" s="106"/>
      <c r="E43" s="106"/>
      <c r="F43" s="24">
        <f>+F42+F36</f>
        <v>41892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75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37297</v>
      </c>
      <c r="B49" s="32"/>
      <c r="C49" s="32"/>
      <c r="D49" s="76">
        <f>+F36</f>
        <v>7212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79140.960000000006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-24426</v>
      </c>
      <c r="C37" s="24">
        <f>SUM(C6:C36)</f>
        <v>-28911</v>
      </c>
      <c r="D37" s="24">
        <f>SUM(D6:D36)</f>
        <v>-18430</v>
      </c>
      <c r="E37" s="24">
        <f>SUM(E6:E36)</f>
        <v>-22000</v>
      </c>
      <c r="F37" s="24">
        <f>SUM(F6:F36)</f>
        <v>-8055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-16512.75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7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37298</v>
      </c>
      <c r="C41" s="319"/>
      <c r="D41" s="262"/>
      <c r="E41" s="262"/>
      <c r="F41" s="104">
        <f>+F40+F39</f>
        <v>-133309.54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6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37298</v>
      </c>
      <c r="B47" s="32"/>
      <c r="C47" s="32"/>
      <c r="D47" s="349">
        <f>+F37</f>
        <v>-8055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-41022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I33" workbookViewId="0">
      <selection activeCell="P40" sqref="P40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/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-20145</v>
      </c>
      <c r="C37" s="24">
        <f t="shared" si="1"/>
        <v>-18900</v>
      </c>
      <c r="D37" s="24">
        <f t="shared" si="1"/>
        <v>0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1020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2091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7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37296</v>
      </c>
      <c r="E41" s="14"/>
      <c r="O41" s="441"/>
      <c r="P41" s="104">
        <f>+P40+P39</f>
        <v>91858.28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76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37296</v>
      </c>
      <c r="B47" s="32"/>
      <c r="C47" s="32"/>
      <c r="D47" s="349">
        <f>+P37</f>
        <v>1020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38061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C38" sqref="C3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277</v>
      </c>
      <c r="C3" s="87"/>
      <c r="D3" s="87"/>
    </row>
    <row r="4" spans="1:4" x14ac:dyDescent="0.25">
      <c r="A4" s="3"/>
      <c r="B4" s="328" t="s">
        <v>276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-199378</v>
      </c>
      <c r="C37" s="11">
        <f>SUM(C6:C36)</f>
        <v>-198963</v>
      </c>
      <c r="D37" s="25">
        <f>SUM(D6:D36)</f>
        <v>415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850.74999999999989</v>
      </c>
    </row>
    <row r="40" spans="1:4" x14ac:dyDescent="0.25">
      <c r="A40" s="57">
        <v>37287</v>
      </c>
      <c r="C40" s="15"/>
      <c r="D40" s="599">
        <v>-27179.17</v>
      </c>
    </row>
    <row r="41" spans="1:4" x14ac:dyDescent="0.25">
      <c r="A41" s="57">
        <v>37298</v>
      </c>
      <c r="C41" s="48"/>
      <c r="D41" s="138">
        <f>+D40+D39</f>
        <v>-26328.42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0">
        <v>-12</v>
      </c>
    </row>
    <row r="47" spans="1:4" x14ac:dyDescent="0.25">
      <c r="A47" s="49">
        <f>+A41</f>
        <v>37298</v>
      </c>
      <c r="B47" s="32"/>
      <c r="C47" s="32"/>
      <c r="D47" s="349">
        <f>+D37</f>
        <v>415</v>
      </c>
    </row>
    <row r="48" spans="1:4" x14ac:dyDescent="0.25">
      <c r="A48" s="32"/>
      <c r="B48" s="32"/>
      <c r="C48" s="32"/>
      <c r="D48" s="14">
        <f>+D47+D46</f>
        <v>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8" workbookViewId="0">
      <selection activeCell="D46" sqref="D46:E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2.06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9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149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600">
        <v>17403</v>
      </c>
      <c r="E46" s="601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28" t="s">
        <v>280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9" t="s">
        <v>282</v>
      </c>
      <c r="C4" s="530"/>
      <c r="D4" s="531" t="s">
        <v>283</v>
      </c>
      <c r="E4" s="530"/>
      <c r="F4" s="531" t="s">
        <v>284</v>
      </c>
      <c r="G4" s="530"/>
      <c r="H4" s="531" t="s">
        <v>285</v>
      </c>
      <c r="I4" s="530"/>
      <c r="J4" s="531" t="s">
        <v>286</v>
      </c>
      <c r="K4" s="530"/>
      <c r="L4" s="531" t="s">
        <v>287</v>
      </c>
      <c r="M4" s="530"/>
      <c r="N4" s="530"/>
    </row>
    <row r="5" spans="1:37" x14ac:dyDescent="0.25">
      <c r="A5" s="532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33"/>
      <c r="Q5" s="533"/>
      <c r="R5" s="533"/>
      <c r="S5" s="533"/>
      <c r="T5" s="533"/>
      <c r="V5" s="534"/>
      <c r="AA5" s="535"/>
      <c r="AB5" s="533"/>
      <c r="AC5" s="533"/>
      <c r="AD5" s="533"/>
      <c r="AE5" s="533"/>
      <c r="AF5" s="533"/>
      <c r="AH5" s="534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33"/>
      <c r="Q6" s="533"/>
      <c r="R6" s="533"/>
      <c r="S6" s="533"/>
      <c r="T6" s="533"/>
      <c r="U6" s="536"/>
      <c r="V6" s="534"/>
      <c r="Y6" s="537"/>
      <c r="AA6" s="535"/>
      <c r="AB6" s="533"/>
      <c r="AC6" s="533"/>
      <c r="AD6" s="533"/>
      <c r="AE6" s="533"/>
      <c r="AF6" s="533"/>
      <c r="AG6" s="536"/>
      <c r="AH6" s="534"/>
      <c r="AK6" s="537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8"/>
      <c r="AB7" s="539"/>
      <c r="AC7" s="539"/>
      <c r="AD7" s="539"/>
      <c r="AE7" s="539"/>
      <c r="AF7" s="539"/>
      <c r="AG7" s="19"/>
      <c r="AH7" s="540"/>
      <c r="AI7" s="252"/>
      <c r="AJ7" s="264"/>
      <c r="AK7" s="537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9"/>
      <c r="Q8" s="539"/>
      <c r="R8" s="539"/>
      <c r="S8" s="539"/>
      <c r="T8" s="539"/>
      <c r="U8" s="19"/>
      <c r="V8" s="540"/>
      <c r="W8" s="252"/>
      <c r="X8" s="264"/>
      <c r="Y8" s="537"/>
      <c r="AA8" s="538"/>
      <c r="AB8" s="539"/>
      <c r="AC8" s="539"/>
      <c r="AD8" s="539"/>
      <c r="AE8" s="539"/>
      <c r="AF8" s="539"/>
      <c r="AG8" s="19"/>
      <c r="AH8" s="540"/>
      <c r="AI8" s="252"/>
      <c r="AJ8" s="264"/>
      <c r="AK8" s="537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9"/>
      <c r="S9" s="28"/>
      <c r="T9" s="539"/>
      <c r="U9" s="19"/>
      <c r="V9" s="540"/>
      <c r="W9" s="252"/>
      <c r="X9" s="264"/>
      <c r="Y9" s="537"/>
      <c r="AA9" s="538"/>
      <c r="AB9" s="539"/>
      <c r="AC9" s="539"/>
      <c r="AD9" s="539"/>
      <c r="AE9" s="539"/>
      <c r="AF9" s="539"/>
      <c r="AG9" s="19"/>
      <c r="AH9" s="540"/>
      <c r="AI9" s="252"/>
      <c r="AJ9" s="264"/>
      <c r="AK9" s="537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9"/>
      <c r="S10" s="28"/>
      <c r="T10" s="539"/>
      <c r="U10" s="19"/>
      <c r="V10" s="540"/>
      <c r="W10" s="252"/>
      <c r="X10" s="264"/>
      <c r="Y10" s="537"/>
      <c r="AA10" s="538"/>
      <c r="AB10" s="539"/>
      <c r="AC10" s="539"/>
      <c r="AD10" s="539"/>
      <c r="AE10" s="539"/>
      <c r="AF10" s="539"/>
      <c r="AG10" s="19"/>
      <c r="AH10" s="540"/>
      <c r="AI10" s="252"/>
      <c r="AJ10" s="264"/>
      <c r="AK10" s="537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9"/>
      <c r="S11" s="28"/>
      <c r="T11" s="539"/>
      <c r="U11" s="19"/>
      <c r="V11" s="540"/>
      <c r="W11" s="252"/>
      <c r="X11" s="264"/>
      <c r="Y11" s="537"/>
      <c r="AA11" s="538"/>
      <c r="AB11" s="539"/>
      <c r="AC11" s="539"/>
      <c r="AD11" s="539"/>
      <c r="AE11" s="539"/>
      <c r="AF11" s="539"/>
      <c r="AG11" s="19"/>
      <c r="AH11" s="540"/>
      <c r="AI11" s="252"/>
      <c r="AJ11" s="264"/>
      <c r="AK11" s="537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9"/>
      <c r="S12" s="28"/>
      <c r="T12" s="539"/>
      <c r="U12" s="19"/>
      <c r="V12" s="540"/>
      <c r="W12" s="252"/>
      <c r="X12" s="264"/>
      <c r="Y12" s="537"/>
      <c r="AA12" s="538"/>
      <c r="AB12" s="539"/>
      <c r="AC12" s="539"/>
      <c r="AD12" s="539"/>
      <c r="AE12" s="539"/>
      <c r="AF12" s="539"/>
      <c r="AG12" s="19"/>
      <c r="AH12" s="540"/>
      <c r="AI12" s="252"/>
      <c r="AJ12" s="264"/>
      <c r="AK12" s="537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9"/>
      <c r="S13" s="541"/>
      <c r="T13" s="539"/>
      <c r="U13" s="19"/>
      <c r="V13" s="540"/>
      <c r="W13" s="252"/>
      <c r="X13" s="264"/>
      <c r="Y13" s="537"/>
      <c r="AA13" s="538"/>
      <c r="AB13" s="539"/>
      <c r="AC13" s="539"/>
      <c r="AD13" s="539"/>
      <c r="AE13" s="539"/>
      <c r="AF13" s="539"/>
      <c r="AG13" s="19"/>
      <c r="AH13" s="540"/>
      <c r="AI13" s="252"/>
      <c r="AJ13" s="264"/>
      <c r="AK13" s="537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9"/>
      <c r="S14" s="541"/>
      <c r="T14" s="539"/>
      <c r="U14" s="19"/>
      <c r="V14" s="540"/>
      <c r="W14" s="252"/>
      <c r="X14" s="264"/>
      <c r="Y14" s="537"/>
      <c r="AA14" s="538"/>
      <c r="AB14" s="539"/>
      <c r="AC14" s="539"/>
      <c r="AD14" s="539"/>
      <c r="AE14" s="539"/>
      <c r="AF14" s="539"/>
      <c r="AG14" s="19"/>
      <c r="AH14" s="540"/>
      <c r="AI14" s="252"/>
      <c r="AJ14" s="264"/>
      <c r="AK14" s="537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9"/>
      <c r="S15" s="541"/>
      <c r="T15" s="539"/>
      <c r="U15" s="19"/>
      <c r="V15" s="540"/>
      <c r="W15" s="252"/>
      <c r="X15" s="264"/>
      <c r="Y15" s="537"/>
      <c r="AA15" s="538"/>
      <c r="AB15" s="539"/>
      <c r="AC15" s="539"/>
      <c r="AD15" s="539"/>
      <c r="AE15" s="539"/>
      <c r="AF15" s="539"/>
      <c r="AG15" s="19"/>
      <c r="AH15" s="540"/>
      <c r="AI15" s="252"/>
      <c r="AJ15" s="264"/>
      <c r="AK15" s="537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9"/>
      <c r="S16" s="541"/>
      <c r="T16" s="539"/>
      <c r="U16" s="19"/>
      <c r="V16" s="540"/>
      <c r="W16" s="252"/>
      <c r="X16" s="264"/>
      <c r="Y16" s="537"/>
      <c r="AA16" s="538"/>
      <c r="AB16" s="539"/>
      <c r="AC16" s="539"/>
      <c r="AD16" s="539"/>
      <c r="AE16" s="539"/>
      <c r="AF16" s="539"/>
      <c r="AG16" s="19"/>
      <c r="AH16" s="540"/>
      <c r="AI16" s="252"/>
      <c r="AJ16" s="264"/>
      <c r="AK16" s="537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9"/>
      <c r="S17" s="541"/>
      <c r="T17" s="539"/>
      <c r="U17" s="19"/>
      <c r="V17" s="540"/>
      <c r="W17" s="252"/>
      <c r="X17" s="264"/>
      <c r="Y17" s="537"/>
      <c r="AA17" s="538"/>
      <c r="AB17" s="539"/>
      <c r="AC17" s="539"/>
      <c r="AD17" s="539"/>
      <c r="AE17" s="539"/>
      <c r="AF17" s="539"/>
      <c r="AG17" s="19"/>
      <c r="AH17" s="540"/>
      <c r="AI17" s="252"/>
      <c r="AJ17" s="264"/>
      <c r="AK17" s="537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9"/>
      <c r="S18" s="541"/>
      <c r="T18" s="539"/>
      <c r="U18" s="19"/>
      <c r="V18" s="540"/>
      <c r="W18" s="252"/>
      <c r="X18" s="264"/>
      <c r="Y18" s="537"/>
      <c r="AA18" s="538"/>
      <c r="AB18" s="539"/>
      <c r="AF18" s="539"/>
      <c r="AG18" s="19"/>
      <c r="AH18" s="540"/>
      <c r="AI18" s="252"/>
      <c r="AJ18" s="264"/>
      <c r="AK18" s="537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9"/>
      <c r="T19" s="539"/>
      <c r="U19" s="19"/>
      <c r="V19" s="540"/>
      <c r="W19" s="252"/>
      <c r="X19" s="264"/>
      <c r="Y19" s="537"/>
      <c r="AA19" s="538"/>
      <c r="AB19" s="539"/>
      <c r="AF19" s="539"/>
      <c r="AG19" s="19"/>
      <c r="AH19" s="540"/>
      <c r="AI19" s="252"/>
      <c r="AJ19" s="264"/>
      <c r="AK19" s="537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9"/>
      <c r="T20" s="539"/>
      <c r="U20" s="19"/>
      <c r="V20" s="540"/>
      <c r="W20" s="252"/>
      <c r="X20" s="264"/>
      <c r="Y20" s="537"/>
      <c r="AA20" s="538"/>
      <c r="AB20" s="539"/>
      <c r="AF20" s="539"/>
      <c r="AG20" s="19"/>
      <c r="AH20" s="540"/>
      <c r="AI20" s="252"/>
      <c r="AJ20" s="264"/>
      <c r="AK20" s="537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8"/>
      <c r="AB21" s="539"/>
      <c r="AF21" s="539"/>
      <c r="AG21" s="19"/>
      <c r="AH21" s="540"/>
      <c r="AI21" s="252"/>
      <c r="AJ21" s="264"/>
      <c r="AK21" s="537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8"/>
      <c r="AB22" s="51"/>
      <c r="AF22" s="539"/>
      <c r="AG22" s="19"/>
      <c r="AH22" s="540"/>
      <c r="AI22" s="252"/>
      <c r="AJ22" s="264"/>
      <c r="AK22" s="537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9"/>
      <c r="Q23" s="539"/>
      <c r="R23" s="539"/>
      <c r="S23" s="539"/>
      <c r="T23" s="539"/>
      <c r="U23" s="19"/>
      <c r="V23" s="540"/>
      <c r="W23" s="252"/>
      <c r="X23" s="264"/>
      <c r="Y23" s="537"/>
      <c r="AA23" s="538"/>
      <c r="AB23" s="51"/>
      <c r="AF23" s="539"/>
      <c r="AG23" s="19"/>
      <c r="AH23" s="540"/>
      <c r="AI23" s="252"/>
      <c r="AJ23" s="264"/>
      <c r="AK23" s="537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9"/>
      <c r="Q24" s="539"/>
      <c r="R24" s="539"/>
      <c r="S24" s="539"/>
      <c r="T24" s="539"/>
      <c r="U24" s="19"/>
      <c r="V24" s="540"/>
      <c r="W24" s="252"/>
      <c r="X24" s="264"/>
      <c r="Y24" s="537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9"/>
      <c r="Q25" s="539"/>
      <c r="R25" s="539"/>
      <c r="S25" s="539"/>
      <c r="T25" s="539"/>
      <c r="U25" s="19"/>
      <c r="V25" s="540"/>
      <c r="W25" s="252"/>
      <c r="X25" s="264"/>
      <c r="Y25" s="537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9"/>
      <c r="Q26" s="539"/>
      <c r="R26" s="539"/>
      <c r="S26" s="539"/>
      <c r="T26" s="539"/>
      <c r="U26" s="19"/>
      <c r="V26" s="540"/>
      <c r="W26" s="252"/>
      <c r="X26" s="264"/>
      <c r="Y26" s="537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9"/>
      <c r="Q27" s="539"/>
      <c r="R27" s="539"/>
      <c r="S27" s="539"/>
      <c r="T27" s="539"/>
      <c r="U27" s="19"/>
      <c r="V27" s="540"/>
      <c r="W27" s="252"/>
      <c r="X27" s="264"/>
      <c r="Y27" s="537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9"/>
      <c r="Q28" s="539"/>
      <c r="R28" s="539"/>
      <c r="S28" s="539"/>
      <c r="T28" s="539"/>
      <c r="U28" s="19"/>
      <c r="V28" s="540"/>
      <c r="W28" s="252"/>
      <c r="X28" s="264"/>
      <c r="Y28" s="537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9"/>
      <c r="Q29" s="539"/>
      <c r="R29" s="539"/>
      <c r="S29" s="539"/>
      <c r="T29" s="539"/>
      <c r="U29" s="19"/>
      <c r="V29" s="540"/>
      <c r="W29" s="252"/>
      <c r="X29" s="264"/>
      <c r="Y29" s="537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9"/>
      <c r="Q30" s="539"/>
      <c r="R30" s="539"/>
      <c r="S30" s="539"/>
      <c r="T30" s="539"/>
      <c r="U30" s="19"/>
      <c r="V30" s="540"/>
      <c r="W30" s="252"/>
      <c r="X30" s="264"/>
      <c r="Y30" s="537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9"/>
      <c r="Q31" s="539"/>
      <c r="R31" s="539"/>
      <c r="S31" s="539"/>
      <c r="T31" s="539"/>
      <c r="U31" s="19"/>
      <c r="V31" s="540"/>
      <c r="W31" s="252"/>
      <c r="X31" s="264"/>
      <c r="Y31" s="537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9"/>
      <c r="Q32" s="539"/>
      <c r="R32" s="539"/>
      <c r="S32" s="539"/>
      <c r="T32" s="539"/>
      <c r="U32" s="19"/>
      <c r="V32" s="540"/>
      <c r="W32" s="252"/>
      <c r="X32" s="264"/>
      <c r="Y32" s="537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9"/>
      <c r="Q33" s="539"/>
      <c r="R33" s="539"/>
      <c r="S33" s="539"/>
      <c r="T33" s="539"/>
      <c r="U33" s="19"/>
      <c r="V33" s="540"/>
      <c r="W33" s="252"/>
      <c r="X33" s="264"/>
      <c r="Y33" s="537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9"/>
      <c r="T34" s="539"/>
      <c r="U34" s="19"/>
      <c r="V34" s="540"/>
      <c r="W34" s="252"/>
      <c r="X34" s="264"/>
      <c r="Y34" s="537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9"/>
      <c r="T35" s="539"/>
      <c r="U35" s="19"/>
      <c r="V35" s="540"/>
      <c r="W35" s="252"/>
      <c r="X35" s="264"/>
      <c r="Y35" s="537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9"/>
      <c r="T36" s="539"/>
      <c r="U36" s="19"/>
      <c r="V36" s="540"/>
      <c r="W36" s="252"/>
      <c r="X36" s="264"/>
      <c r="Y36" s="537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9"/>
      <c r="T37" s="539"/>
      <c r="U37" s="19"/>
      <c r="V37" s="540"/>
      <c r="W37" s="252"/>
      <c r="X37" s="264"/>
      <c r="Y37" s="537"/>
    </row>
    <row r="38" spans="1:25" x14ac:dyDescent="0.25">
      <c r="N38" s="264">
        <f>+summary!G4</f>
        <v>2.0499999999999998</v>
      </c>
      <c r="P38" s="51"/>
      <c r="T38" s="539"/>
      <c r="U38" s="19"/>
      <c r="V38" s="540"/>
      <c r="W38" s="252"/>
      <c r="X38" s="264"/>
      <c r="Y38" s="537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9"/>
      <c r="U39" s="19"/>
      <c r="V39" s="540"/>
      <c r="W39" s="252"/>
      <c r="X39" s="264"/>
      <c r="Y39" s="537"/>
    </row>
    <row r="40" spans="1:25" x14ac:dyDescent="0.25">
      <c r="N40" s="329"/>
      <c r="P40" s="539"/>
      <c r="T40" s="539"/>
      <c r="U40" s="19"/>
      <c r="V40" s="540"/>
      <c r="W40" s="252"/>
      <c r="X40" s="264"/>
      <c r="Y40" s="537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82">
        <f>121241.56-58000</f>
        <v>63241.56</v>
      </c>
      <c r="P41" s="539"/>
      <c r="T41" s="539"/>
      <c r="U41" s="19"/>
      <c r="V41" s="540"/>
      <c r="W41" s="252"/>
      <c r="X41" s="264"/>
      <c r="Y41" s="537"/>
    </row>
    <row r="42" spans="1:25" x14ac:dyDescent="0.25">
      <c r="N42" s="319"/>
      <c r="P42" s="539"/>
      <c r="T42" s="539"/>
      <c r="U42" s="19"/>
      <c r="V42" s="540"/>
      <c r="W42" s="252"/>
      <c r="X42" s="264"/>
      <c r="Y42" s="537"/>
    </row>
    <row r="43" spans="1:25" x14ac:dyDescent="0.25">
      <c r="A43" s="263">
        <v>37287</v>
      </c>
      <c r="N43" s="319">
        <f>+N41+N39</f>
        <v>63241.56</v>
      </c>
      <c r="P43" s="539"/>
      <c r="T43" s="539"/>
      <c r="U43" s="19"/>
      <c r="V43" s="540"/>
      <c r="W43" s="252"/>
      <c r="X43" s="264"/>
      <c r="Y43" s="537"/>
    </row>
    <row r="44" spans="1:25" x14ac:dyDescent="0.25">
      <c r="N44" s="329"/>
      <c r="P44" s="539"/>
      <c r="T44" s="539"/>
      <c r="U44" s="19"/>
      <c r="V44" s="540"/>
      <c r="W44" s="252"/>
      <c r="X44" s="264"/>
      <c r="Y44" s="537"/>
    </row>
    <row r="45" spans="1:25" x14ac:dyDescent="0.25">
      <c r="P45" s="539"/>
      <c r="T45" s="539"/>
      <c r="U45" s="19"/>
      <c r="V45" s="540"/>
      <c r="W45" s="252"/>
      <c r="X45" s="264"/>
      <c r="Y45" s="537"/>
    </row>
    <row r="46" spans="1:25" x14ac:dyDescent="0.25">
      <c r="B46" s="463"/>
      <c r="D46" s="463"/>
      <c r="F46" s="463"/>
      <c r="H46" s="463"/>
      <c r="J46" s="463"/>
      <c r="L46" s="463"/>
      <c r="O46" s="538"/>
      <c r="P46" s="51"/>
      <c r="T46" s="539"/>
      <c r="U46" s="19"/>
      <c r="V46" s="540"/>
      <c r="W46" s="252"/>
      <c r="X46" s="264"/>
      <c r="Y46" s="537"/>
    </row>
    <row r="47" spans="1:25" x14ac:dyDescent="0.25">
      <c r="A47" s="249" t="s">
        <v>149</v>
      </c>
      <c r="B47" s="249"/>
      <c r="C47" s="249"/>
      <c r="D47" s="249"/>
      <c r="E47" s="530"/>
      <c r="F47" s="530"/>
      <c r="G47" s="530"/>
      <c r="H47" s="530"/>
      <c r="I47" s="530"/>
      <c r="J47" s="530"/>
      <c r="K47" s="530"/>
      <c r="L47" s="530"/>
      <c r="M47" s="530"/>
      <c r="N47" s="530"/>
      <c r="O47" s="538"/>
      <c r="P47" s="51"/>
      <c r="T47" s="539"/>
      <c r="U47" s="19"/>
      <c r="V47" s="540"/>
      <c r="W47" s="252"/>
      <c r="X47" s="264"/>
      <c r="Y47" s="537"/>
    </row>
    <row r="48" spans="1:25" x14ac:dyDescent="0.25">
      <c r="A48" s="542">
        <f>+A41</f>
        <v>37287</v>
      </c>
      <c r="B48" s="249"/>
      <c r="C48" s="249"/>
      <c r="D48" s="576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8"/>
      <c r="T48" s="539"/>
      <c r="U48" s="19"/>
      <c r="V48" s="540"/>
      <c r="W48" s="252"/>
      <c r="X48" s="264"/>
      <c r="Y48" s="537"/>
    </row>
    <row r="49" spans="1:25" x14ac:dyDescent="0.25">
      <c r="A49" s="542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8"/>
      <c r="T49" s="539"/>
      <c r="U49" s="19"/>
      <c r="V49" s="540"/>
      <c r="W49" s="252"/>
      <c r="X49" s="264"/>
      <c r="Y49" s="537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8"/>
      <c r="U50" s="19"/>
    </row>
    <row r="51" spans="1:25" x14ac:dyDescent="0.25">
      <c r="A51" s="543"/>
      <c r="B51" s="544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8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8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8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8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8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8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8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8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8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8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8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8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8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8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8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8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8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8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8"/>
      <c r="P70" s="539"/>
      <c r="Q70" s="539"/>
      <c r="R70" s="539"/>
      <c r="S70" s="539"/>
      <c r="T70" s="539"/>
      <c r="U70" s="28"/>
      <c r="V70" s="545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8"/>
      <c r="P71" s="539"/>
      <c r="Q71" s="539"/>
      <c r="R71" s="539"/>
      <c r="S71" s="539"/>
      <c r="T71" s="539"/>
      <c r="U71" s="28"/>
      <c r="V71" s="545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8"/>
      <c r="P72" s="539"/>
      <c r="Q72" s="539"/>
      <c r="R72" s="539"/>
      <c r="S72" s="539"/>
      <c r="T72" s="539"/>
      <c r="U72" s="28"/>
      <c r="V72" s="545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8"/>
      <c r="P73" s="539"/>
      <c r="Q73" s="539"/>
      <c r="R73" s="539"/>
      <c r="S73" s="539"/>
      <c r="T73" s="539"/>
      <c r="U73" s="28"/>
      <c r="V73" s="545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8"/>
      <c r="P74" s="539"/>
      <c r="Q74" s="539"/>
      <c r="R74" s="539"/>
      <c r="S74" s="539"/>
      <c r="T74" s="539"/>
      <c r="U74" s="28"/>
      <c r="V74" s="545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8"/>
      <c r="P75" s="539"/>
      <c r="Q75" s="539"/>
      <c r="R75" s="539"/>
      <c r="S75" s="539"/>
      <c r="T75" s="539"/>
      <c r="U75" s="28"/>
      <c r="V75" s="545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8"/>
      <c r="P76" s="539"/>
      <c r="Q76" s="539"/>
      <c r="R76" s="539"/>
      <c r="S76" s="539"/>
      <c r="T76" s="539"/>
      <c r="U76" s="28"/>
      <c r="V76" s="545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8"/>
      <c r="P77" s="539"/>
      <c r="Q77" s="539"/>
      <c r="R77" s="539"/>
      <c r="S77" s="539"/>
      <c r="T77" s="539"/>
      <c r="U77" s="28"/>
      <c r="V77" s="545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8"/>
      <c r="P78" s="539"/>
      <c r="Q78" s="539"/>
      <c r="R78" s="539"/>
      <c r="S78" s="539"/>
      <c r="T78" s="539"/>
      <c r="U78" s="28"/>
      <c r="V78" s="545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8"/>
      <c r="P79" s="539"/>
      <c r="Q79" s="539"/>
      <c r="R79" s="539"/>
      <c r="S79" s="539"/>
      <c r="T79" s="539"/>
      <c r="U79" s="28"/>
      <c r="V79" s="545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8"/>
      <c r="P80" s="539"/>
      <c r="Q80" s="539"/>
      <c r="R80" s="539"/>
      <c r="S80" s="539"/>
      <c r="T80" s="539"/>
      <c r="U80" s="28"/>
      <c r="V80" s="545"/>
    </row>
    <row r="81" spans="1:22" x14ac:dyDescent="0.25">
      <c r="A81" s="261"/>
      <c r="C81" s="131"/>
      <c r="E81" s="131"/>
      <c r="G81" s="131"/>
      <c r="I81" s="131"/>
      <c r="K81" s="131"/>
      <c r="M81" s="131"/>
      <c r="O81" s="538"/>
      <c r="P81" s="539"/>
      <c r="Q81" s="539"/>
      <c r="R81" s="539"/>
      <c r="S81" s="539"/>
      <c r="T81" s="539"/>
      <c r="U81" s="28"/>
      <c r="V81" s="545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8"/>
      <c r="P82" s="539"/>
      <c r="Q82" s="539"/>
      <c r="R82" s="539"/>
      <c r="S82" s="539"/>
      <c r="T82" s="539"/>
      <c r="U82" s="28"/>
      <c r="V82" s="545"/>
    </row>
    <row r="83" spans="1:22" x14ac:dyDescent="0.25">
      <c r="A83" s="261"/>
      <c r="C83" s="131"/>
      <c r="E83" s="131"/>
      <c r="H83" s="546"/>
      <c r="I83" s="546"/>
      <c r="J83" s="546"/>
      <c r="K83" s="546"/>
      <c r="L83" s="546"/>
      <c r="M83" s="546"/>
      <c r="N83" s="131"/>
      <c r="O83" s="538"/>
      <c r="P83" s="539"/>
      <c r="Q83" s="539"/>
      <c r="R83" s="539"/>
      <c r="S83" s="539"/>
      <c r="T83" s="539"/>
      <c r="V83" s="545"/>
    </row>
    <row r="84" spans="1:22" x14ac:dyDescent="0.25">
      <c r="A84" s="261"/>
      <c r="O84" s="538"/>
      <c r="P84" s="539"/>
      <c r="Q84" s="539"/>
      <c r="R84" s="539"/>
      <c r="S84" s="539"/>
      <c r="T84" s="539"/>
      <c r="V84" s="545"/>
    </row>
    <row r="85" spans="1:22" x14ac:dyDescent="0.25">
      <c r="A85" s="261"/>
      <c r="O85" s="538"/>
      <c r="P85" s="539"/>
      <c r="Q85" s="539"/>
      <c r="R85" s="539"/>
      <c r="S85" s="539"/>
      <c r="T85" s="539"/>
      <c r="V85" s="545"/>
    </row>
    <row r="86" spans="1:22" x14ac:dyDescent="0.25">
      <c r="A86" s="261"/>
      <c r="O86" s="538"/>
      <c r="P86" s="539"/>
      <c r="Q86" s="539"/>
      <c r="R86" s="539"/>
      <c r="S86" s="539"/>
      <c r="T86" s="539"/>
      <c r="V86" s="545"/>
    </row>
    <row r="87" spans="1:22" x14ac:dyDescent="0.25">
      <c r="A87" s="261"/>
      <c r="O87" s="538"/>
      <c r="P87" s="539"/>
      <c r="Q87" s="539"/>
      <c r="R87" s="539"/>
      <c r="S87" s="539"/>
      <c r="T87" s="539"/>
      <c r="V87" s="545"/>
    </row>
    <row r="88" spans="1:22" x14ac:dyDescent="0.25">
      <c r="A88" s="261"/>
      <c r="O88" s="538"/>
      <c r="P88" s="539"/>
      <c r="Q88" s="539"/>
      <c r="R88" s="539"/>
      <c r="S88" s="539"/>
      <c r="T88" s="539"/>
      <c r="V88" s="545"/>
    </row>
    <row r="89" spans="1:22" x14ac:dyDescent="0.25">
      <c r="A89" s="261"/>
      <c r="O89" s="538"/>
      <c r="P89" s="539"/>
      <c r="Q89" s="539"/>
      <c r="R89" s="539"/>
      <c r="S89" s="539"/>
      <c r="T89" s="539"/>
      <c r="V89" s="545"/>
    </row>
    <row r="90" spans="1:22" x14ac:dyDescent="0.25">
      <c r="B90" s="463"/>
      <c r="D90" s="463"/>
      <c r="F90" s="463"/>
      <c r="H90" s="463"/>
      <c r="J90" s="463"/>
      <c r="L90" s="463"/>
      <c r="O90" s="538"/>
      <c r="P90" s="539"/>
      <c r="Q90" s="539"/>
      <c r="R90" s="539"/>
      <c r="S90" s="539"/>
      <c r="T90" s="539"/>
      <c r="V90" s="545"/>
    </row>
    <row r="91" spans="1:22" x14ac:dyDescent="0.25">
      <c r="A91" s="547"/>
      <c r="B91" s="530"/>
      <c r="C91" s="530"/>
      <c r="D91" s="530"/>
      <c r="E91" s="530"/>
      <c r="F91" s="530"/>
      <c r="G91" s="530"/>
      <c r="H91" s="530"/>
      <c r="I91" s="530"/>
      <c r="J91" s="530"/>
      <c r="K91" s="530"/>
      <c r="L91" s="530"/>
      <c r="M91" s="530"/>
      <c r="N91" s="530"/>
      <c r="O91" s="538"/>
      <c r="P91" s="539"/>
      <c r="Q91" s="539"/>
      <c r="R91" s="539"/>
      <c r="S91" s="539"/>
      <c r="T91" s="539"/>
      <c r="V91" s="545"/>
    </row>
    <row r="92" spans="1:22" x14ac:dyDescent="0.25">
      <c r="A92" s="532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8"/>
      <c r="P92" s="546"/>
      <c r="Q92" s="546"/>
      <c r="R92" s="546"/>
      <c r="S92" s="546"/>
      <c r="T92" s="546"/>
      <c r="V92" s="533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46"/>
      <c r="I127" s="546"/>
      <c r="J127" s="546"/>
      <c r="K127" s="546"/>
      <c r="L127" s="546"/>
      <c r="M127" s="546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9"/>
      <c r="C130" s="530"/>
      <c r="D130" s="530"/>
      <c r="E130" s="530"/>
      <c r="F130" s="530"/>
      <c r="G130" s="530"/>
      <c r="H130" s="530"/>
      <c r="I130" s="530"/>
      <c r="J130" s="530"/>
      <c r="K130" s="530"/>
      <c r="L130" s="530"/>
      <c r="M130" s="530"/>
      <c r="N130" s="530"/>
    </row>
    <row r="131" spans="1:14" x14ac:dyDescent="0.25">
      <c r="A131" s="532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48"/>
      <c r="K166" s="548"/>
      <c r="M166" s="548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9"/>
      <c r="C172" s="530"/>
      <c r="D172" s="530"/>
      <c r="E172" s="530"/>
      <c r="F172" s="530"/>
      <c r="G172" s="530"/>
      <c r="H172" s="530"/>
      <c r="I172" s="530"/>
      <c r="J172" s="530"/>
      <c r="K172" s="530"/>
      <c r="L172" s="530"/>
      <c r="M172" s="530"/>
    </row>
    <row r="173" spans="1:14" x14ac:dyDescent="0.25">
      <c r="A173" s="532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48"/>
      <c r="K208" s="548"/>
      <c r="M208" s="548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9"/>
      <c r="C215" s="530"/>
      <c r="D215" s="530"/>
      <c r="E215" s="530"/>
      <c r="F215" s="530"/>
      <c r="G215" s="530"/>
      <c r="H215" s="530"/>
      <c r="I215" s="530"/>
      <c r="J215" s="530"/>
      <c r="K215" s="530"/>
      <c r="L215" s="530"/>
      <c r="M215" s="530"/>
    </row>
    <row r="216" spans="1:13" x14ac:dyDescent="0.25">
      <c r="A216" s="532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48"/>
      <c r="K251" s="548"/>
      <c r="M251" s="548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9"/>
      <c r="C257" s="530"/>
      <c r="D257" s="530"/>
      <c r="E257" s="530"/>
      <c r="F257" s="530"/>
      <c r="G257" s="530"/>
      <c r="H257" s="530"/>
      <c r="I257" s="530"/>
      <c r="J257" s="530"/>
      <c r="K257" s="530"/>
      <c r="L257" s="530"/>
      <c r="M257" s="530"/>
      <c r="O257" s="529"/>
      <c r="P257" s="530"/>
      <c r="Q257" s="530"/>
      <c r="R257" s="530"/>
      <c r="S257" s="530"/>
      <c r="T257" s="530"/>
      <c r="U257" s="530"/>
      <c r="V257" s="530"/>
      <c r="W257" s="530"/>
    </row>
    <row r="258" spans="1:23" x14ac:dyDescent="0.25">
      <c r="A258" s="532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32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48"/>
      <c r="K293" s="548"/>
      <c r="M293" s="548"/>
      <c r="V293" s="548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9"/>
      <c r="P298" s="530"/>
      <c r="Q298" s="530"/>
      <c r="R298" s="530"/>
      <c r="S298" s="530"/>
      <c r="T298" s="530"/>
      <c r="U298" s="530"/>
      <c r="V298" s="530"/>
      <c r="W298" s="530"/>
    </row>
    <row r="299" spans="1:23" x14ac:dyDescent="0.25">
      <c r="N299" s="532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9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9"/>
      <c r="P340" s="530"/>
      <c r="Q340" s="530"/>
      <c r="R340" s="530"/>
      <c r="S340" s="530"/>
      <c r="T340" s="530"/>
      <c r="U340" s="530"/>
      <c r="V340" s="530"/>
      <c r="W340" s="530"/>
    </row>
    <row r="341" spans="14:23" x14ac:dyDescent="0.25">
      <c r="N341" s="532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28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9"/>
      <c r="W378" s="550"/>
    </row>
    <row r="381" spans="14:23" x14ac:dyDescent="0.25">
      <c r="O381" s="463"/>
      <c r="Q381" s="463"/>
      <c r="S381" s="463"/>
      <c r="U381" s="463"/>
    </row>
    <row r="382" spans="14:23" x14ac:dyDescent="0.25">
      <c r="O382" s="529"/>
      <c r="P382" s="530"/>
      <c r="Q382" s="530"/>
      <c r="R382" s="530"/>
      <c r="S382" s="530"/>
      <c r="T382" s="530"/>
      <c r="U382" s="530"/>
      <c r="V382" s="530"/>
      <c r="W382" s="530"/>
    </row>
    <row r="383" spans="14:23" x14ac:dyDescent="0.25">
      <c r="N383" s="532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28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9"/>
      <c r="W420" s="550"/>
    </row>
    <row r="425" spans="14:23" x14ac:dyDescent="0.25">
      <c r="O425" s="463"/>
      <c r="Q425" s="463"/>
      <c r="S425" s="463"/>
      <c r="U425" s="463"/>
    </row>
    <row r="426" spans="14:23" x14ac:dyDescent="0.25">
      <c r="O426" s="529"/>
      <c r="P426" s="530"/>
      <c r="Q426" s="530"/>
      <c r="R426" s="530"/>
      <c r="S426" s="530"/>
      <c r="T426" s="530"/>
      <c r="U426" s="530"/>
      <c r="V426" s="530"/>
      <c r="W426" s="530"/>
    </row>
    <row r="427" spans="14:23" x14ac:dyDescent="0.25">
      <c r="N427" s="532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28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9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9"/>
      <c r="P468" s="530"/>
      <c r="Q468" s="530"/>
      <c r="R468" s="530"/>
      <c r="S468" s="530"/>
      <c r="T468" s="530"/>
      <c r="U468" s="530"/>
      <c r="V468" s="530"/>
      <c r="W468" s="530"/>
      <c r="Y468" s="529"/>
      <c r="Z468" s="530"/>
      <c r="AA468" s="530"/>
      <c r="AB468" s="530"/>
      <c r="AC468" s="530"/>
      <c r="AD468" s="530"/>
      <c r="AE468" s="530"/>
      <c r="AF468" s="530"/>
      <c r="AG468" s="530"/>
    </row>
    <row r="469" spans="14:33" x14ac:dyDescent="0.25">
      <c r="N469" s="532"/>
      <c r="O469" s="464"/>
      <c r="P469" s="464"/>
      <c r="Q469" s="464"/>
      <c r="R469" s="464"/>
      <c r="S469" s="464"/>
      <c r="T469" s="464"/>
      <c r="U469" s="464"/>
      <c r="V469" s="464"/>
      <c r="W469" s="464"/>
      <c r="X469" s="532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28"/>
      <c r="P504" s="131"/>
      <c r="R504" s="131"/>
      <c r="T504" s="131"/>
      <c r="V504" s="131"/>
      <c r="W504" s="51"/>
      <c r="X504" s="528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9"/>
      <c r="W506" s="51"/>
      <c r="X506" s="54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1" workbookViewId="0">
      <selection activeCell="D47" sqref="D4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5">
      <c r="A39" s="26"/>
      <c r="C39" s="14"/>
      <c r="D39" s="106">
        <f>+summary!G3</f>
        <v>2.06</v>
      </c>
    </row>
    <row r="40" spans="1:8" x14ac:dyDescent="0.25">
      <c r="D40" s="138">
        <f>+D39*D38</f>
        <v>-1886.96</v>
      </c>
      <c r="H40">
        <v>20</v>
      </c>
    </row>
    <row r="41" spans="1:8" x14ac:dyDescent="0.25">
      <c r="A41" s="57">
        <v>37287</v>
      </c>
      <c r="C41" s="15"/>
      <c r="D41" s="606">
        <v>-61307</v>
      </c>
      <c r="H41">
        <v>530</v>
      </c>
    </row>
    <row r="42" spans="1:8" x14ac:dyDescent="0.25">
      <c r="A42" s="57">
        <v>37290</v>
      </c>
      <c r="D42" s="319">
        <f>+D41+D40</f>
        <v>-63193.96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76">
        <v>-29617</v>
      </c>
    </row>
    <row r="48" spans="1:8" x14ac:dyDescent="0.25">
      <c r="A48" s="49">
        <f>+A42</f>
        <v>37290</v>
      </c>
      <c r="B48" s="32"/>
      <c r="C48" s="32"/>
      <c r="D48" s="349">
        <f>+D38</f>
        <v>-916</v>
      </c>
    </row>
    <row r="49" spans="1:4" x14ac:dyDescent="0.25">
      <c r="A49" s="32"/>
      <c r="B49" s="32"/>
      <c r="C49" s="32"/>
      <c r="D49" s="14">
        <f>+D48+D47</f>
        <v>-30533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6" sqref="C36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-2717384</v>
      </c>
      <c r="C35" s="11">
        <f>SUM(C4:C34)</f>
        <v>-2706810</v>
      </c>
      <c r="D35" s="11">
        <f>SUM(D4:D34)</f>
        <v>10574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84">
        <v>28722</v>
      </c>
    </row>
    <row r="39" spans="1:30" x14ac:dyDescent="0.25">
      <c r="A39" s="12"/>
      <c r="D39" s="51"/>
    </row>
    <row r="40" spans="1:30" x14ac:dyDescent="0.25">
      <c r="A40" s="245">
        <v>37298</v>
      </c>
      <c r="D40" s="51">
        <f>+D38+D35</f>
        <v>39296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83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37298</v>
      </c>
      <c r="B46" s="32"/>
      <c r="C46" s="32"/>
      <c r="D46" s="374">
        <f>+D35*'by type_area'!G4</f>
        <v>21676.699999999997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-121992.3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36" sqref="C36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-6636493</v>
      </c>
      <c r="C35" s="11">
        <f>SUM(C4:C34)</f>
        <v>-6644970</v>
      </c>
      <c r="D35" s="11">
        <f>SUM(D4:D34)</f>
        <v>0</v>
      </c>
      <c r="E35" s="11">
        <f>SUM(E4:E34)</f>
        <v>0</v>
      </c>
      <c r="F35" s="11">
        <f>SUM(F4:F34)</f>
        <v>-8477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85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37298</v>
      </c>
      <c r="D40" s="246"/>
      <c r="E40" s="246"/>
      <c r="F40" s="51">
        <f>+F38+F35</f>
        <v>85535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83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37298</v>
      </c>
      <c r="B46" s="32"/>
      <c r="C46" s="32"/>
      <c r="D46" s="472">
        <f>+F35*'by type_area'!G4</f>
        <v>-17377.849999999999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292890.15000000002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2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-349485</v>
      </c>
      <c r="C35" s="44">
        <f t="shared" si="3"/>
        <v>-15988</v>
      </c>
      <c r="D35" s="11">
        <f t="shared" si="3"/>
        <v>0</v>
      </c>
      <c r="E35" s="44">
        <f t="shared" si="3"/>
        <v>-331931</v>
      </c>
      <c r="F35" s="11">
        <f t="shared" si="3"/>
        <v>0</v>
      </c>
      <c r="G35" s="11">
        <f t="shared" si="3"/>
        <v>0</v>
      </c>
      <c r="H35" s="11">
        <f t="shared" si="3"/>
        <v>1566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3210.2999999999997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37296</v>
      </c>
      <c r="F39" s="471"/>
      <c r="G39" s="471"/>
      <c r="H39" s="319">
        <f>+H38+H37</f>
        <v>13077.3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37296</v>
      </c>
      <c r="E47" s="457">
        <f>+H35</f>
        <v>1566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34042</v>
      </c>
      <c r="F48" s="129"/>
      <c r="G48" s="129"/>
      <c r="H48" s="129"/>
      <c r="I48" s="262"/>
      <c r="J48" s="102"/>
      <c r="K48" s="508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E37" sqref="E37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-3596035</v>
      </c>
      <c r="E36" s="11">
        <f t="shared" si="15"/>
        <v>-3599254</v>
      </c>
      <c r="F36" s="11">
        <f t="shared" si="15"/>
        <v>0</v>
      </c>
      <c r="G36" s="11">
        <f t="shared" si="15"/>
        <v>0</v>
      </c>
      <c r="H36" s="11">
        <f t="shared" si="15"/>
        <v>-3219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-3219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87">
        <v>64269</v>
      </c>
      <c r="D38" s="320"/>
      <c r="E38" s="588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37298</v>
      </c>
      <c r="B39" s="2" t="s">
        <v>45</v>
      </c>
      <c r="C39" s="131">
        <f>+C38+C37</f>
        <v>64269</v>
      </c>
      <c r="D39" s="252"/>
      <c r="E39" s="131">
        <f>+E38+E37</f>
        <v>11389</v>
      </c>
      <c r="F39" s="252"/>
      <c r="G39" s="131"/>
      <c r="H39" s="131">
        <f>+H38+H36</f>
        <v>75658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86">
        <v>-1582961.01</v>
      </c>
      <c r="D44" s="205"/>
      <c r="E44" s="589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37298</v>
      </c>
      <c r="B45" s="32"/>
      <c r="C45" s="47">
        <f>+C37*summary!G4</f>
        <v>0</v>
      </c>
      <c r="D45" s="205"/>
      <c r="E45" s="376">
        <f>+E37*summary!G3</f>
        <v>-6631.14</v>
      </c>
      <c r="F45" s="47">
        <f>+E45+C45</f>
        <v>-6631.14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41" sqref="C4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37298</v>
      </c>
      <c r="I23" s="11">
        <f>+B39</f>
        <v>2036676</v>
      </c>
      <c r="J23" s="11">
        <f>+C39</f>
        <v>2040672</v>
      </c>
      <c r="K23" s="11">
        <f>+D39</f>
        <v>143784</v>
      </c>
      <c r="L23" s="11">
        <f>+E39</f>
        <v>142421</v>
      </c>
      <c r="M23" s="42">
        <f>+J23-I23+L23-K23</f>
        <v>2633</v>
      </c>
      <c r="N23" s="102">
        <f>+summary!G3</f>
        <v>2.06</v>
      </c>
      <c r="O23" s="498">
        <f>+N23*M23</f>
        <v>5423.9800000000005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92433</v>
      </c>
      <c r="N24" s="102"/>
      <c r="O24" s="102">
        <f>SUM(O9:O23)</f>
        <v>573540.31999999995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2036676</v>
      </c>
      <c r="C39" s="150">
        <f>SUM(C8:C38)</f>
        <v>2040672</v>
      </c>
      <c r="D39" s="150">
        <f>SUM(D8:D38)</f>
        <v>143784</v>
      </c>
      <c r="E39" s="150">
        <f>SUM(E8:E38)</f>
        <v>142421</v>
      </c>
      <c r="F39" s="11">
        <f t="shared" si="5"/>
        <v>2633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489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37298</v>
      </c>
      <c r="B45" s="32"/>
      <c r="C45" s="106"/>
      <c r="D45" s="106"/>
      <c r="E45" s="106"/>
      <c r="F45" s="24">
        <f>+F44+F39</f>
        <v>20635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37298</v>
      </c>
      <c r="B51" s="32"/>
      <c r="C51" s="32"/>
      <c r="D51" s="349">
        <f>+F39*summary!G3</f>
        <v>5423.9800000000005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414677.98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2002-02-13T20:45:31Z</cp:lastPrinted>
  <dcterms:created xsi:type="dcterms:W3CDTF">2000-03-28T16:52:23Z</dcterms:created>
  <dcterms:modified xsi:type="dcterms:W3CDTF">2023-09-10T12:03:13Z</dcterms:modified>
</cp:coreProperties>
</file>