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  <workbookView xWindow="360" yWindow="96" windowWidth="9720" windowHeight="6792" tabRatio="895" activeTab="2"/>
    <workbookView xWindow="600" yWindow="288" windowWidth="9720" windowHeight="6600" activeTab="1"/>
    <workbookView xWindow="840" yWindow="480" windowWidth="10860" windowHeight="6408" tabRatio="601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<sst xmlns="http://schemas.openxmlformats.org/spreadsheetml/2006/main" count="668" uniqueCount="206">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</sst>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2.02</v>
          </cell>
          <cell r="K39">
            <v>1.9</v>
          </cell>
          <cell r="M39">
            <v>1.98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workbookViewId="3">
      <selection activeCell="B63" sqref="B63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9.886718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145</v>
      </c>
      <c r="D2" s="7"/>
      <c r="I2" s="416" t="s">
        <v>81</v>
      </c>
      <c r="J2" s="419"/>
      <c r="K2" s="32"/>
    </row>
    <row r="3" spans="1:32" ht="12.9" customHeight="1" x14ac:dyDescent="0.25">
      <c r="D3" s="7"/>
      <c r="I3" s="417" t="s">
        <v>30</v>
      </c>
      <c r="J3" s="420">
        <f>+summary!H3</f>
        <v>1.9</v>
      </c>
      <c r="K3" s="437">
        <f ca="1">NOW()</f>
        <v>37141.458023726853</v>
      </c>
    </row>
    <row r="4" spans="1:32" ht="12.9" customHeight="1" x14ac:dyDescent="0.25">
      <c r="A4" s="34" t="s">
        <v>152</v>
      </c>
      <c r="C4" s="34" t="s">
        <v>5</v>
      </c>
      <c r="D4" s="7"/>
      <c r="I4" s="418" t="s">
        <v>31</v>
      </c>
      <c r="J4" s="420">
        <f>+summary!H4</f>
        <v>1.98</v>
      </c>
      <c r="K4" s="32"/>
    </row>
    <row r="5" spans="1:32" ht="12.9" customHeight="1" x14ac:dyDescent="0.25">
      <c r="D5" s="7"/>
      <c r="I5" s="417" t="s">
        <v>120</v>
      </c>
      <c r="J5" s="420">
        <f>+summary!H5</f>
        <v>2.02</v>
      </c>
      <c r="K5" s="32"/>
    </row>
    <row r="6" spans="1:32" ht="12" customHeight="1" x14ac:dyDescent="0.25"/>
    <row r="7" spans="1:32" ht="12.9" customHeight="1" x14ac:dyDescent="0.25">
      <c r="A7" s="435" t="s">
        <v>179</v>
      </c>
      <c r="B7" s="436"/>
      <c r="AD7" s="32"/>
      <c r="AE7" s="32"/>
      <c r="AF7" s="32"/>
    </row>
    <row r="8" spans="1:32" ht="15.9" customHeight="1" outlineLevel="2" x14ac:dyDescent="0.25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9" t="s">
        <v>169</v>
      </c>
    </row>
    <row r="12" spans="1:32" ht="15.9" customHeight="1" outlineLevel="1" x14ac:dyDescent="0.25">
      <c r="A12" s="206" t="s">
        <v>132</v>
      </c>
      <c r="B12" s="375">
        <f>+Calpine!D41</f>
        <v>112815</v>
      </c>
      <c r="C12" s="402">
        <f>+B12/$J$4</f>
        <v>56977.272727272728</v>
      </c>
      <c r="D12" s="14">
        <f>+Calpine!D47</f>
        <v>146222</v>
      </c>
      <c r="E12" s="70">
        <f>+C12-D12</f>
        <v>-89244.727272727265</v>
      </c>
      <c r="F12" s="397">
        <f>+Calpine!A41</f>
        <v>37139</v>
      </c>
      <c r="G12" s="205"/>
      <c r="H12" s="206" t="s">
        <v>102</v>
      </c>
      <c r="I12" s="381"/>
      <c r="J12" s="70"/>
      <c r="K12" s="32"/>
    </row>
    <row r="13" spans="1:32" ht="15.9" customHeight="1" outlineLevel="2" x14ac:dyDescent="0.25">
      <c r="A13" s="32" t="s">
        <v>144</v>
      </c>
      <c r="B13" s="375">
        <f>+'Citizens-Griffith'!D41</f>
        <v>-113181.34</v>
      </c>
      <c r="C13" s="401">
        <f>+B13/$J$4</f>
        <v>-57162.292929292926</v>
      </c>
      <c r="D13" s="14">
        <f>+'Citizens-Griffith'!D48</f>
        <v>-55667</v>
      </c>
      <c r="E13" s="70">
        <f>+C13-D13</f>
        <v>-1495.2929292929257</v>
      </c>
      <c r="F13" s="397">
        <f>+'Citizens-Griffith'!A41</f>
        <v>37139</v>
      </c>
      <c r="G13" s="205" t="s">
        <v>162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5">
        <f>+'NS Steel'!D41</f>
        <v>-425720.76</v>
      </c>
      <c r="C14" s="401">
        <f>+B14/$J$4</f>
        <v>-215010.48484848486</v>
      </c>
      <c r="D14" s="14">
        <f>+'NS Steel'!D50</f>
        <v>-80433</v>
      </c>
      <c r="E14" s="70">
        <f>+C14-D14</f>
        <v>-134577.48484848486</v>
      </c>
      <c r="F14" s="398">
        <f>+'NS Steel'!A41</f>
        <v>37139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" customHeight="1" outlineLevel="1" x14ac:dyDescent="0.25">
      <c r="A15" s="206" t="s">
        <v>140</v>
      </c>
      <c r="B15" s="378">
        <f>+Citizens!D18</f>
        <v>-726637.07</v>
      </c>
      <c r="C15" s="403">
        <f>+B15/$J$4</f>
        <v>-366988.41919191915</v>
      </c>
      <c r="D15" s="379">
        <f>+Citizens!D24</f>
        <v>-136441</v>
      </c>
      <c r="E15" s="72">
        <f>+C15-D15</f>
        <v>-230547.41919191915</v>
      </c>
      <c r="F15" s="397">
        <f>+Citizens!A18</f>
        <v>37139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" customHeight="1" outlineLevel="2" x14ac:dyDescent="0.25">
      <c r="A16" s="153" t="s">
        <v>170</v>
      </c>
      <c r="B16" s="421">
        <f>SUBTOTAL(9,B12:B15)</f>
        <v>-1152724.17</v>
      </c>
      <c r="C16" s="428">
        <f>SUBTOTAL(9,C12:C15)</f>
        <v>-582183.9242424242</v>
      </c>
      <c r="D16" s="429">
        <f>SUBTOTAL(9,D12:D15)</f>
        <v>-126319</v>
      </c>
      <c r="E16" s="430">
        <f>SUBTOTAL(9,E12:E15)</f>
        <v>-455864.9242424242</v>
      </c>
      <c r="F16" s="397"/>
      <c r="G16" s="205"/>
      <c r="H16" s="206"/>
      <c r="I16" s="381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2" t="s">
        <v>59</v>
      </c>
      <c r="G18" s="7"/>
    </row>
    <row r="19" spans="1:20" ht="15.9" customHeight="1" outlineLevel="2" x14ac:dyDescent="0.25">
      <c r="A19" s="32" t="s">
        <v>74</v>
      </c>
      <c r="B19" s="376">
        <f>+transcol!$D$43</f>
        <v>35375.86</v>
      </c>
      <c r="C19" s="401">
        <f>+B19/$J$4</f>
        <v>17866.595959595961</v>
      </c>
      <c r="D19" s="14">
        <f>+transcol!D50</f>
        <v>-39285</v>
      </c>
      <c r="E19" s="70">
        <f>+C19-D19</f>
        <v>57151.595959595958</v>
      </c>
      <c r="F19" s="398">
        <f>+transcol!A43</f>
        <v>37139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8">
        <f>+burlington!D42</f>
        <v>9400.5</v>
      </c>
      <c r="C20" s="405">
        <f>+B20/$J$3</f>
        <v>4947.6315789473683</v>
      </c>
      <c r="D20" s="379">
        <f>+burlington!D49</f>
        <v>3133</v>
      </c>
      <c r="E20" s="72">
        <f>+C20-D20</f>
        <v>1814.6315789473683</v>
      </c>
      <c r="F20" s="397">
        <f>+burlington!A42</f>
        <v>37139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" customHeight="1" outlineLevel="2" x14ac:dyDescent="0.25">
      <c r="A21" s="153" t="s">
        <v>172</v>
      </c>
      <c r="B21" s="421">
        <f>SUBTOTAL(9,B19:B20)</f>
        <v>44776.36</v>
      </c>
      <c r="C21" s="422">
        <f>SUBTOTAL(9,C19:C20)</f>
        <v>22814.227538543331</v>
      </c>
      <c r="D21" s="429">
        <f>SUBTOTAL(9,D19:D20)</f>
        <v>-36152</v>
      </c>
      <c r="E21" s="430">
        <f>SUBTOTAL(9,E19:E20)</f>
        <v>58966.227538543324</v>
      </c>
      <c r="F21" s="397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" customHeight="1" outlineLevel="2" x14ac:dyDescent="0.25">
      <c r="A24" s="206" t="s">
        <v>90</v>
      </c>
      <c r="B24" s="375">
        <f>+NNG!$D$24</f>
        <v>404842.22</v>
      </c>
      <c r="C24" s="401">
        <f t="shared" ref="C24:C35" si="0">+B24/$J$4</f>
        <v>204465.76767676766</v>
      </c>
      <c r="D24" s="14">
        <f>+NNG!D34</f>
        <v>-23232</v>
      </c>
      <c r="E24" s="70">
        <f t="shared" ref="E24:E37" si="1">+C24-D24</f>
        <v>227697.76767676766</v>
      </c>
      <c r="F24" s="397">
        <f>+NNG!A24</f>
        <v>37139</v>
      </c>
      <c r="G24" s="424" t="s">
        <v>160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5">
        <f>+Conoco!$F$41</f>
        <v>572546.76</v>
      </c>
      <c r="C25" s="401">
        <f t="shared" si="0"/>
        <v>289165.03030303033</v>
      </c>
      <c r="D25" s="14">
        <f>+Conoco!D48</f>
        <v>84959</v>
      </c>
      <c r="E25" s="70">
        <f t="shared" si="1"/>
        <v>204206.03030303033</v>
      </c>
      <c r="F25" s="397">
        <f>+Conoco!A41</f>
        <v>37139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" customHeight="1" outlineLevel="2" x14ac:dyDescent="0.25">
      <c r="A26" s="32" t="s">
        <v>3</v>
      </c>
      <c r="B26" s="375">
        <f>+'Amoco Abo'!$F$43</f>
        <v>430607.57</v>
      </c>
      <c r="C26" s="401">
        <f t="shared" si="0"/>
        <v>217478.5707070707</v>
      </c>
      <c r="D26" s="14">
        <f>+'Amoco Abo'!D49</f>
        <v>-239608</v>
      </c>
      <c r="E26" s="70">
        <f t="shared" si="1"/>
        <v>457086.5707070707</v>
      </c>
      <c r="F26" s="398">
        <f>+'Amoco Abo'!A43</f>
        <v>37139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" customHeight="1" outlineLevel="2" x14ac:dyDescent="0.25">
      <c r="A27" s="32" t="s">
        <v>110</v>
      </c>
      <c r="B27" s="375">
        <f>+KN_Westar!F41</f>
        <v>200100.44</v>
      </c>
      <c r="C27" s="401">
        <f t="shared" si="0"/>
        <v>101060.82828282828</v>
      </c>
      <c r="D27" s="14">
        <f>+KN_Westar!D48</f>
        <v>-94042</v>
      </c>
      <c r="E27" s="70">
        <f t="shared" si="1"/>
        <v>195102.82828282827</v>
      </c>
      <c r="F27" s="398">
        <f>+KN_Westar!A41</f>
        <v>37139</v>
      </c>
      <c r="G27" s="205" t="s">
        <v>162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5">
        <f>+DEFS!F53</f>
        <v>179227.31999999983</v>
      </c>
      <c r="C28" s="402">
        <f t="shared" si="0"/>
        <v>90518.848484848408</v>
      </c>
      <c r="D28" s="14">
        <f>+DEFS!M53</f>
        <v>396207</v>
      </c>
      <c r="E28" s="70">
        <f t="shared" si="1"/>
        <v>-305688.15151515161</v>
      </c>
      <c r="F28" s="398">
        <f>+DEFS!A40</f>
        <v>37139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5">
        <f>+CIG!D43</f>
        <v>393936.82</v>
      </c>
      <c r="C29" s="401">
        <f t="shared" si="0"/>
        <v>198957.98989898991</v>
      </c>
      <c r="D29" s="14">
        <f>+CIG!D49</f>
        <v>22431</v>
      </c>
      <c r="E29" s="70">
        <f t="shared" si="1"/>
        <v>176526.98989898991</v>
      </c>
      <c r="F29" s="398">
        <f>+CIG!A43</f>
        <v>37137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5">
      <c r="A30" s="32" t="s">
        <v>2</v>
      </c>
      <c r="B30" s="375">
        <f>+mewborne!$J$43</f>
        <v>319740.53999999998</v>
      </c>
      <c r="C30" s="401">
        <f t="shared" si="0"/>
        <v>161485.12121212122</v>
      </c>
      <c r="D30" s="14">
        <f>+mewborne!D49</f>
        <v>127056</v>
      </c>
      <c r="E30" s="70">
        <f t="shared" si="1"/>
        <v>34429.121212121216</v>
      </c>
      <c r="F30" s="398">
        <f>+mewborne!A43</f>
        <v>37139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154</v>
      </c>
      <c r="B31" s="375">
        <f>+PGETX!$H$39</f>
        <v>475079</v>
      </c>
      <c r="C31" s="401">
        <f t="shared" si="0"/>
        <v>239938.88888888891</v>
      </c>
      <c r="D31" s="14">
        <f>+PGETX!E48</f>
        <v>116820</v>
      </c>
      <c r="E31" s="70">
        <f t="shared" si="1"/>
        <v>123118.88888888891</v>
      </c>
      <c r="F31" s="398">
        <f>+PGETX!E39</f>
        <v>37139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5">
      <c r="A32" s="32" t="s">
        <v>85</v>
      </c>
      <c r="B32" s="375">
        <f>+PNM!$D$23</f>
        <v>125136.40000000001</v>
      </c>
      <c r="C32" s="401">
        <f t="shared" si="0"/>
        <v>63200.202020202029</v>
      </c>
      <c r="D32" s="14">
        <f>+PNM!D30</f>
        <v>4503</v>
      </c>
      <c r="E32" s="70">
        <f t="shared" si="1"/>
        <v>58697.202020202029</v>
      </c>
      <c r="F32" s="398">
        <f>+PNM!A23</f>
        <v>37139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5">
        <f>+EOG!J41</f>
        <v>97692.66</v>
      </c>
      <c r="C33" s="401">
        <f t="shared" si="0"/>
        <v>49339.727272727272</v>
      </c>
      <c r="D33" s="14">
        <f>+EOG!D48</f>
        <v>-79064</v>
      </c>
      <c r="E33" s="70">
        <f t="shared" si="1"/>
        <v>128403.72727272726</v>
      </c>
      <c r="F33" s="397">
        <f>+EOG!A41</f>
        <v>37139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5">
        <f>+SidR!D41</f>
        <v>30685</v>
      </c>
      <c r="C34" s="401">
        <f t="shared" si="0"/>
        <v>15497.474747474747</v>
      </c>
      <c r="D34" s="14">
        <f>+SidR!D48</f>
        <v>13242</v>
      </c>
      <c r="E34" s="70">
        <f t="shared" si="1"/>
        <v>2255.4747474747473</v>
      </c>
      <c r="F34" s="398">
        <f>+SidR!A41</f>
        <v>37139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5">
        <f>+Continental!F43</f>
        <v>-5216.57</v>
      </c>
      <c r="C35" s="402">
        <f t="shared" si="0"/>
        <v>-2634.6313131313132</v>
      </c>
      <c r="D35" s="14">
        <f>+Continental!D50</f>
        <v>-17302</v>
      </c>
      <c r="E35" s="70">
        <f t="shared" si="1"/>
        <v>14667.368686868687</v>
      </c>
      <c r="F35" s="398">
        <f>+Continental!A43</f>
        <v>37139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5">
        <f>+EPFS!D41</f>
        <v>-19625.62</v>
      </c>
      <c r="C36" s="402">
        <f>+B36/$J$5</f>
        <v>-9715.6534653465333</v>
      </c>
      <c r="D36" s="14">
        <f>+EPFS!D47</f>
        <v>6750</v>
      </c>
      <c r="E36" s="70">
        <f t="shared" si="1"/>
        <v>-16465.653465346535</v>
      </c>
      <c r="F36" s="397">
        <f>+EPFS!A41</f>
        <v>37139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8">
        <f>+Agave!$D$24</f>
        <v>37547</v>
      </c>
      <c r="C37" s="403">
        <f>+B37/$J$4</f>
        <v>18963.131313131315</v>
      </c>
      <c r="D37" s="379">
        <f>+Agave!D31</f>
        <v>-13805</v>
      </c>
      <c r="E37" s="72">
        <f t="shared" si="1"/>
        <v>32768.131313131315</v>
      </c>
      <c r="F37" s="397">
        <f>+Agave!A24</f>
        <v>37139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175</v>
      </c>
      <c r="B38" s="421">
        <f>SUBTOTAL(9,B24:B37)</f>
        <v>3242299.54</v>
      </c>
      <c r="C38" s="428">
        <f>SUBTOTAL(9,C24:C37)</f>
        <v>1637721.2960296031</v>
      </c>
      <c r="D38" s="429">
        <f>SUBTOTAL(9,D24:D37)</f>
        <v>304915</v>
      </c>
      <c r="E38" s="430">
        <f>SUBTOTAL(9,E24:E37)</f>
        <v>1332806.2960296031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176</v>
      </c>
      <c r="B40" s="421">
        <f>SUBTOTAL(9,B12:B37)</f>
        <v>2134351.73</v>
      </c>
      <c r="C40" s="428">
        <f>SUBTOTAL(9,C12:C37)</f>
        <v>1078351.5993257223</v>
      </c>
      <c r="D40" s="429">
        <f>SUBTOTAL(9,D12:D37)</f>
        <v>142444</v>
      </c>
      <c r="E40" s="430">
        <f>SUBTOTAL(9,E12:E37)</f>
        <v>935907.59932572208</v>
      </c>
      <c r="F40" s="397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5">
      <c r="D46" s="7"/>
      <c r="I46" s="417" t="s">
        <v>30</v>
      </c>
      <c r="J46" s="420">
        <f>+J3</f>
        <v>1.9</v>
      </c>
      <c r="K46" s="437">
        <f ca="1">NOW()</f>
        <v>37141.458023726853</v>
      </c>
    </row>
    <row r="47" spans="1:12" ht="13.5" customHeight="1" outlineLevel="2" x14ac:dyDescent="0.25">
      <c r="A47" s="34" t="s">
        <v>152</v>
      </c>
      <c r="C47" s="34" t="s">
        <v>5</v>
      </c>
      <c r="D47" s="7"/>
      <c r="I47" s="418" t="s">
        <v>31</v>
      </c>
      <c r="J47" s="420">
        <f>+J4</f>
        <v>1.98</v>
      </c>
      <c r="K47" s="32"/>
    </row>
    <row r="48" spans="1:12" ht="13.5" customHeight="1" outlineLevel="1" x14ac:dyDescent="0.25">
      <c r="D48" s="7"/>
      <c r="I48" s="417" t="s">
        <v>120</v>
      </c>
      <c r="J48" s="420">
        <f>+J5</f>
        <v>2.02</v>
      </c>
      <c r="K48" s="32"/>
    </row>
    <row r="49" spans="1:19" ht="13.5" customHeight="1" outlineLevel="2" x14ac:dyDescent="0.25"/>
    <row r="50" spans="1:19" ht="13.5" customHeight="1" outlineLevel="2" x14ac:dyDescent="0.25">
      <c r="A50" s="435" t="s">
        <v>180</v>
      </c>
      <c r="B50" s="436"/>
    </row>
    <row r="51" spans="1:19" ht="13.5" customHeight="1" outlineLevel="2" x14ac:dyDescent="0.25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6"/>
      <c r="C53" s="252"/>
    </row>
    <row r="54" spans="1:19" ht="13.5" customHeight="1" outlineLevel="1" x14ac:dyDescent="0.25">
      <c r="A54" s="399" t="s">
        <v>169</v>
      </c>
      <c r="B54" s="296"/>
      <c r="C54" s="252"/>
    </row>
    <row r="55" spans="1:19" ht="13.5" customHeight="1" outlineLevel="2" x14ac:dyDescent="0.25">
      <c r="A55" s="32" t="s">
        <v>97</v>
      </c>
      <c r="B55" s="401">
        <f>+Mojave!D40</f>
        <v>145209</v>
      </c>
      <c r="C55" s="375">
        <f>+B55*$J$4</f>
        <v>287513.82</v>
      </c>
      <c r="D55" s="47">
        <f>+Mojave!D47</f>
        <v>113136.1</v>
      </c>
      <c r="E55" s="47">
        <f>+C55-D55</f>
        <v>174377.72</v>
      </c>
      <c r="F55" s="398">
        <f>+Mojave!A40</f>
        <v>37139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5">
      <c r="A56" s="32" t="s">
        <v>33</v>
      </c>
      <c r="B56" s="402">
        <f>+SoCal!F40</f>
        <v>155477</v>
      </c>
      <c r="C56" s="375">
        <f>+B56*$J$4</f>
        <v>307844.46000000002</v>
      </c>
      <c r="D56" s="47">
        <f>+SoCal!D47</f>
        <v>473721.12</v>
      </c>
      <c r="E56" s="47">
        <f>+C56-D56</f>
        <v>-165876.65999999997</v>
      </c>
      <c r="F56" s="398">
        <f>+SoCal!A40</f>
        <v>37139</v>
      </c>
      <c r="H56" s="32" t="s">
        <v>105</v>
      </c>
      <c r="I56" s="32"/>
      <c r="J56" s="32"/>
      <c r="K56" s="32"/>
    </row>
    <row r="57" spans="1:19" ht="15" customHeight="1" outlineLevel="2" x14ac:dyDescent="0.25">
      <c r="A57" s="32" t="s">
        <v>202</v>
      </c>
      <c r="B57" s="401">
        <f>+'El Paso'!C39</f>
        <v>64156</v>
      </c>
      <c r="C57" s="375">
        <f>+B57*$J$4</f>
        <v>127028.88</v>
      </c>
      <c r="D57" s="47">
        <f>+'El Paso'!C46</f>
        <v>-1583274</v>
      </c>
      <c r="E57" s="47">
        <f>+C57-D57</f>
        <v>1710302.88</v>
      </c>
      <c r="F57" s="398">
        <f>+'El Paso'!A39</f>
        <v>37139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5">
      <c r="A58" s="32" t="s">
        <v>117</v>
      </c>
      <c r="B58" s="403">
        <f>+'PG&amp;E'!D40</f>
        <v>49513</v>
      </c>
      <c r="C58" s="378">
        <f>+B58*$J$4</f>
        <v>98035.74</v>
      </c>
      <c r="D58" s="378">
        <f>+'PG&amp;E'!D47</f>
        <v>-92622.42</v>
      </c>
      <c r="E58" s="378">
        <f>+C58-D58</f>
        <v>190658.16</v>
      </c>
      <c r="F58" s="398">
        <f>+'PG&amp;E'!A40</f>
        <v>37139</v>
      </c>
      <c r="H58" s="32" t="s">
        <v>105</v>
      </c>
      <c r="I58" s="32"/>
      <c r="J58" s="32"/>
      <c r="K58" s="32"/>
    </row>
    <row r="59" spans="1:19" ht="15" customHeight="1" x14ac:dyDescent="0.25">
      <c r="A59" s="2" t="s">
        <v>170</v>
      </c>
      <c r="B59" s="428">
        <f>SUBTOTAL(9,B55:B58)</f>
        <v>414355</v>
      </c>
      <c r="C59" s="421">
        <f>SUBTOTAL(9,C55:C58)</f>
        <v>820422.9</v>
      </c>
      <c r="D59" s="421">
        <f>SUBTOTAL(9,D55:D58)</f>
        <v>-1089039.2</v>
      </c>
      <c r="E59" s="421">
        <f>SUBTOTAL(9,E55:E58)</f>
        <v>1909462.0999999999</v>
      </c>
      <c r="F59" s="398"/>
      <c r="G59" s="205"/>
      <c r="H59" s="32"/>
      <c r="I59" s="32"/>
      <c r="J59" s="32"/>
      <c r="K59" s="32"/>
    </row>
    <row r="60" spans="1:19" ht="12.9" customHeight="1" x14ac:dyDescent="0.25">
      <c r="B60" s="296"/>
      <c r="C60" s="252"/>
      <c r="G60" s="205"/>
    </row>
    <row r="61" spans="1:19" ht="15" customHeight="1" x14ac:dyDescent="0.25">
      <c r="A61" s="399" t="s">
        <v>59</v>
      </c>
      <c r="B61" s="296"/>
      <c r="C61" s="252"/>
      <c r="G61" s="205"/>
    </row>
    <row r="62" spans="1:19" x14ac:dyDescent="0.25">
      <c r="A62" s="206" t="s">
        <v>29</v>
      </c>
      <c r="B62" s="401">
        <f>+williams!J40</f>
        <v>254245</v>
      </c>
      <c r="C62" s="375">
        <f>+B62*$J$3</f>
        <v>483065.5</v>
      </c>
      <c r="D62" s="47">
        <f>+williams!D48</f>
        <v>1246898.6000000001</v>
      </c>
      <c r="E62" s="47">
        <f>+C62-D62</f>
        <v>-763833.10000000009</v>
      </c>
      <c r="F62" s="397">
        <f>+williams!A40</f>
        <v>37139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5">
      <c r="A63" s="32" t="s">
        <v>24</v>
      </c>
      <c r="B63" s="401">
        <f>+'Red C'!F43</f>
        <v>142382</v>
      </c>
      <c r="C63" s="376">
        <f>+B63*J3</f>
        <v>270525.8</v>
      </c>
      <c r="D63" s="202">
        <f>+'Red C'!D52</f>
        <v>675570.9</v>
      </c>
      <c r="E63" s="47">
        <f>+C63-D63</f>
        <v>-405045.10000000003</v>
      </c>
      <c r="F63" s="397">
        <f>+'Red C'!B43</f>
        <v>37139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5">
      <c r="A64" s="32" t="s">
        <v>6</v>
      </c>
      <c r="B64" s="401">
        <f>+Amoco!D40</f>
        <v>78829</v>
      </c>
      <c r="C64" s="375">
        <f>+B64*$J$3</f>
        <v>149775.1</v>
      </c>
      <c r="D64" s="47">
        <f>+Amoco!D47</f>
        <v>482108.8</v>
      </c>
      <c r="E64" s="47">
        <f>+C64-D64</f>
        <v>-332333.69999999995</v>
      </c>
      <c r="F64" s="398">
        <f>+Amoco!A40</f>
        <v>37139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203</v>
      </c>
      <c r="B65" s="401">
        <f>+'El Paso'!E39</f>
        <v>-89300</v>
      </c>
      <c r="C65" s="375">
        <f>+B65*$J$3</f>
        <v>-169670</v>
      </c>
      <c r="D65" s="47">
        <f>+'El Paso'!F46</f>
        <v>-689365.8</v>
      </c>
      <c r="E65" s="47">
        <f>+C65-D65</f>
        <v>519695.80000000005</v>
      </c>
      <c r="F65" s="398">
        <f>+'El Paso'!A39</f>
        <v>37139</v>
      </c>
      <c r="G65" s="475"/>
      <c r="H65" s="32" t="s">
        <v>103</v>
      </c>
      <c r="I65" s="32" t="s">
        <v>193</v>
      </c>
      <c r="J65" s="32"/>
      <c r="K65" s="32"/>
    </row>
    <row r="66" spans="1:12" x14ac:dyDescent="0.25">
      <c r="A66" s="32" t="s">
        <v>1</v>
      </c>
      <c r="B66" s="403">
        <f>+NW!$F$41</f>
        <v>68264</v>
      </c>
      <c r="C66" s="378">
        <f>+B66*$J$3</f>
        <v>129701.59999999999</v>
      </c>
      <c r="D66" s="378">
        <f>+NW!E49</f>
        <v>-321613.2</v>
      </c>
      <c r="E66" s="378">
        <f>+C66-D66</f>
        <v>451314.8</v>
      </c>
      <c r="F66" s="397">
        <f>+NW!B41</f>
        <v>37139</v>
      </c>
      <c r="G66" s="205" t="s">
        <v>161</v>
      </c>
      <c r="H66" s="32" t="s">
        <v>118</v>
      </c>
      <c r="I66" s="32"/>
      <c r="J66" s="32"/>
      <c r="K66" s="32"/>
    </row>
    <row r="67" spans="1:12" x14ac:dyDescent="0.25">
      <c r="A67" s="32" t="s">
        <v>171</v>
      </c>
      <c r="B67" s="428">
        <f>SUBTOTAL(9,B62:B66)</f>
        <v>454420</v>
      </c>
      <c r="C67" s="421">
        <f>SUBTOTAL(9,C62:C66)</f>
        <v>863398</v>
      </c>
      <c r="D67" s="421">
        <f>SUBTOTAL(9,D62:D66)</f>
        <v>1393599.2999999998</v>
      </c>
      <c r="E67" s="421">
        <f>SUBTOTAL(9,E62:E66)</f>
        <v>-530201.30000000005</v>
      </c>
      <c r="F67" s="397"/>
      <c r="G67" s="205"/>
      <c r="H67" s="32"/>
      <c r="I67" s="32"/>
      <c r="J67" s="32"/>
      <c r="K67" s="32"/>
    </row>
    <row r="68" spans="1:12" x14ac:dyDescent="0.25">
      <c r="B68" s="296"/>
      <c r="C68" s="252"/>
      <c r="G68" s="205"/>
    </row>
    <row r="69" spans="1:12" x14ac:dyDescent="0.25">
      <c r="A69" s="399" t="s">
        <v>173</v>
      </c>
      <c r="B69" s="296"/>
      <c r="C69" s="252"/>
      <c r="G69" s="205"/>
    </row>
    <row r="70" spans="1:12" x14ac:dyDescent="0.25">
      <c r="A70" s="32" t="s">
        <v>91</v>
      </c>
      <c r="B70" s="401">
        <f>+NGPL!F38</f>
        <v>166245</v>
      </c>
      <c r="C70" s="375">
        <f>+B70*$J$4</f>
        <v>329165.09999999998</v>
      </c>
      <c r="D70" s="47">
        <f>+NGPL!D45</f>
        <v>407668.66</v>
      </c>
      <c r="E70" s="47">
        <f>+C70-D70</f>
        <v>-78503.56</v>
      </c>
      <c r="F70" s="398">
        <f>+NGPL!A38</f>
        <v>37139</v>
      </c>
      <c r="G70" s="205"/>
      <c r="H70" s="32" t="s">
        <v>118</v>
      </c>
      <c r="I70" s="32"/>
      <c r="J70" s="32"/>
      <c r="K70" s="32"/>
    </row>
    <row r="71" spans="1:12" x14ac:dyDescent="0.25">
      <c r="A71" s="32" t="s">
        <v>148</v>
      </c>
      <c r="B71" s="401">
        <f>+PEPL!D41</f>
        <v>68200</v>
      </c>
      <c r="C71" s="376">
        <f>+B71*$J$4</f>
        <v>135036</v>
      </c>
      <c r="D71" s="47">
        <f>+PEPL!D47</f>
        <v>309979.88</v>
      </c>
      <c r="E71" s="47">
        <f>+C71-D71</f>
        <v>-174943.88</v>
      </c>
      <c r="F71" s="398">
        <f>+PEPL!A41</f>
        <v>37139</v>
      </c>
      <c r="H71" s="32" t="s">
        <v>103</v>
      </c>
      <c r="I71" s="32" t="s">
        <v>147</v>
      </c>
      <c r="J71" s="32"/>
      <c r="K71" s="32"/>
    </row>
    <row r="72" spans="1:12" x14ac:dyDescent="0.25">
      <c r="A72" s="32" t="s">
        <v>7</v>
      </c>
      <c r="B72" s="402">
        <f>+Oasis!D40</f>
        <v>43238</v>
      </c>
      <c r="C72" s="375">
        <f>+B72*$J$4</f>
        <v>85611.24</v>
      </c>
      <c r="D72" s="47">
        <f>+Oasis!D47</f>
        <v>-266559.76</v>
      </c>
      <c r="E72" s="47">
        <f>+C72-D72</f>
        <v>352171</v>
      </c>
      <c r="F72" s="398">
        <f>+Oasis!B40</f>
        <v>37139</v>
      </c>
      <c r="H72" s="32" t="s">
        <v>105</v>
      </c>
      <c r="I72" s="32"/>
      <c r="J72" s="32"/>
      <c r="K72" s="32"/>
    </row>
    <row r="73" spans="1:12" x14ac:dyDescent="0.25">
      <c r="A73" s="32" t="s">
        <v>32</v>
      </c>
      <c r="B73" s="405">
        <f>+Lonestar!F42</f>
        <v>75139</v>
      </c>
      <c r="C73" s="378">
        <f>+B73*$J$4</f>
        <v>148775.22</v>
      </c>
      <c r="D73" s="378">
        <f>+Lonestar!D49</f>
        <v>75820.28</v>
      </c>
      <c r="E73" s="378">
        <f>+C73-D73</f>
        <v>72954.94</v>
      </c>
      <c r="F73" s="397">
        <f>+Lonestar!B42</f>
        <v>37139</v>
      </c>
      <c r="H73" s="32" t="s">
        <v>105</v>
      </c>
      <c r="I73" s="32"/>
      <c r="J73" s="32"/>
      <c r="K73" s="32"/>
    </row>
    <row r="74" spans="1:12" x14ac:dyDescent="0.25">
      <c r="A74" s="2" t="s">
        <v>174</v>
      </c>
      <c r="B74" s="422">
        <f>SUBTOTAL(9,B70:B73)</f>
        <v>352822</v>
      </c>
      <c r="C74" s="421">
        <f>SUBTOTAL(9,C70:C73)</f>
        <v>698587.55999999994</v>
      </c>
      <c r="D74" s="421">
        <f>SUBTOTAL(9,D70:D73)</f>
        <v>526909.06000000006</v>
      </c>
      <c r="E74" s="421">
        <f>SUBTOTAL(9,E70:E73)</f>
        <v>171678.5</v>
      </c>
      <c r="F74" s="397"/>
      <c r="H74" s="32"/>
      <c r="I74" s="32"/>
      <c r="J74" s="32"/>
      <c r="K74" s="32"/>
    </row>
    <row r="75" spans="1:12" x14ac:dyDescent="0.25">
      <c r="B75" s="296"/>
      <c r="C75" s="252"/>
    </row>
    <row r="76" spans="1:12" x14ac:dyDescent="0.25">
      <c r="A76" s="2" t="s">
        <v>181</v>
      </c>
      <c r="B76" s="422">
        <f>SUBTOTAL(9,B55:B73)</f>
        <v>1221597</v>
      </c>
      <c r="C76" s="421">
        <f>SUBTOTAL(9,C55:C73)</f>
        <v>2382408.4600000004</v>
      </c>
      <c r="D76" s="421">
        <f>SUBTOTAL(9,D55:D73)</f>
        <v>831469.16</v>
      </c>
      <c r="E76" s="421">
        <f>SUBTOTAL(9,E55:E73)</f>
        <v>1550939.2999999998</v>
      </c>
      <c r="F76" s="397"/>
      <c r="H76" s="32"/>
      <c r="I76" s="32"/>
      <c r="J76" s="32"/>
      <c r="K76" s="32"/>
    </row>
    <row r="77" spans="1:12" x14ac:dyDescent="0.25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5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8" thickBot="1" x14ac:dyDescent="0.3">
      <c r="A79" s="2" t="s">
        <v>187</v>
      </c>
      <c r="B79" s="431">
        <f>+C76+B40</f>
        <v>4516760.1900000004</v>
      </c>
      <c r="C79" s="208"/>
      <c r="D79" s="375"/>
      <c r="E79" s="375"/>
      <c r="F79" s="382"/>
      <c r="H79" s="32"/>
      <c r="I79" s="32"/>
      <c r="J79" s="32"/>
      <c r="K79" s="32"/>
    </row>
    <row r="80" spans="1:12" ht="13.8" thickTop="1" x14ac:dyDescent="0.25">
      <c r="A80" s="2" t="s">
        <v>188</v>
      </c>
      <c r="B80" s="14">
        <f>+B76+C40</f>
        <v>2299948.5993257221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5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5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95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5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5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E36" sqref="E3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154865</v>
      </c>
      <c r="C12" s="11">
        <v>157530</v>
      </c>
      <c r="D12" s="11">
        <v>12566</v>
      </c>
      <c r="E12" s="11">
        <v>12441</v>
      </c>
      <c r="F12" s="11">
        <f t="shared" si="5"/>
        <v>2540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48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781098</v>
      </c>
      <c r="C39" s="150">
        <f>SUM(C8:C38)</f>
        <v>782541</v>
      </c>
      <c r="D39" s="150">
        <f>SUM(D8:D38)</f>
        <v>61391</v>
      </c>
      <c r="E39" s="150">
        <f>SUM(E8:E38)</f>
        <v>62569</v>
      </c>
      <c r="F39" s="11">
        <f t="shared" si="5"/>
        <v>2621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37134</v>
      </c>
      <c r="C42" s="153"/>
      <c r="D42" s="153"/>
      <c r="E42" s="153"/>
      <c r="F42" s="446">
        <v>139761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37139</v>
      </c>
      <c r="C43" s="142"/>
      <c r="D43" s="142"/>
      <c r="E43" s="142"/>
      <c r="F43" s="150">
        <f>+F42+F39</f>
        <v>142382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37134</v>
      </c>
      <c r="B50" s="32"/>
      <c r="C50" s="32"/>
      <c r="D50" s="440">
        <v>670591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37139</v>
      </c>
      <c r="B51" s="32"/>
      <c r="C51" s="32"/>
      <c r="D51" s="408">
        <f>+F39*'by type'!J3</f>
        <v>4979.8999999999996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675570.9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4" workbookViewId="3">
      <selection activeCell="B42" sqref="B42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-648048</v>
      </c>
      <c r="C36" s="24">
        <f>SUM(C5:C35)</f>
        <v>-645660</v>
      </c>
      <c r="D36" s="24">
        <f t="shared" si="0"/>
        <v>2388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37134</v>
      </c>
      <c r="C38" s="24"/>
      <c r="D38" s="439">
        <v>40850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37139</v>
      </c>
      <c r="C40" s="24"/>
      <c r="D40" s="195">
        <f>+D36+D38</f>
        <v>43238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37134</v>
      </c>
      <c r="B45" s="32"/>
      <c r="C45" s="32"/>
      <c r="D45" s="440">
        <v>-271288</v>
      </c>
    </row>
    <row r="46" spans="1:65" x14ac:dyDescent="0.25">
      <c r="A46" s="49">
        <f>+B40</f>
        <v>37139</v>
      </c>
      <c r="B46" s="32"/>
      <c r="C46" s="32"/>
      <c r="D46" s="408">
        <f>+D36*'by type'!J4</f>
        <v>4728.24</v>
      </c>
    </row>
    <row r="47" spans="1:65" x14ac:dyDescent="0.25">
      <c r="A47" s="32"/>
      <c r="B47" s="32"/>
      <c r="C47" s="32"/>
      <c r="D47" s="202">
        <f>+D46+D45</f>
        <v>-266559.76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5" workbookViewId="3">
      <selection activeCell="A23" sqref="A23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173305</v>
      </c>
      <c r="C5" s="90">
        <v>172312</v>
      </c>
      <c r="D5" s="90">
        <f>+C5-B5</f>
        <v>-993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139771</v>
      </c>
      <c r="C7" s="90">
        <v>174091</v>
      </c>
      <c r="D7" s="90">
        <f t="shared" si="0"/>
        <v>34320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92041</v>
      </c>
      <c r="C8" s="90">
        <v>114487</v>
      </c>
      <c r="D8" s="90">
        <f t="shared" si="0"/>
        <v>22446</v>
      </c>
      <c r="E8" s="285"/>
      <c r="F8" s="283"/>
    </row>
    <row r="9" spans="1:13" x14ac:dyDescent="0.25">
      <c r="A9" s="87">
        <v>500293</v>
      </c>
      <c r="B9" s="90">
        <v>71191</v>
      </c>
      <c r="C9" s="90">
        <v>102055</v>
      </c>
      <c r="D9" s="90">
        <f t="shared" si="0"/>
        <v>30864</v>
      </c>
      <c r="E9" s="285"/>
      <c r="F9" s="283"/>
    </row>
    <row r="10" spans="1:13" x14ac:dyDescent="0.25">
      <c r="A10" s="87">
        <v>500302</v>
      </c>
      <c r="B10" s="319"/>
      <c r="C10" s="319">
        <v>1836</v>
      </c>
      <c r="D10" s="90">
        <f t="shared" si="0"/>
        <v>1836</v>
      </c>
      <c r="E10" s="285"/>
      <c r="F10" s="283"/>
    </row>
    <row r="11" spans="1:13" x14ac:dyDescent="0.25">
      <c r="A11" s="87">
        <v>500303</v>
      </c>
      <c r="B11" s="319">
        <v>37672</v>
      </c>
      <c r="C11" s="90">
        <v>55719</v>
      </c>
      <c r="D11" s="90">
        <f t="shared" si="0"/>
        <v>18047</v>
      </c>
      <c r="E11" s="285"/>
      <c r="F11" s="283"/>
    </row>
    <row r="12" spans="1:13" x14ac:dyDescent="0.25">
      <c r="A12" s="91">
        <v>500305</v>
      </c>
      <c r="B12" s="319">
        <v>176670</v>
      </c>
      <c r="C12" s="90">
        <v>221145</v>
      </c>
      <c r="D12" s="90">
        <f t="shared" si="0"/>
        <v>44475</v>
      </c>
      <c r="E12" s="286"/>
      <c r="F12" s="283"/>
    </row>
    <row r="13" spans="1:13" x14ac:dyDescent="0.25">
      <c r="A13" s="87">
        <v>500307</v>
      </c>
      <c r="B13" s="319">
        <v>7934</v>
      </c>
      <c r="C13" s="90">
        <v>10978</v>
      </c>
      <c r="D13" s="90">
        <f t="shared" si="0"/>
        <v>3044</v>
      </c>
      <c r="E13" s="285"/>
      <c r="F13" s="283"/>
    </row>
    <row r="14" spans="1:13" x14ac:dyDescent="0.25">
      <c r="A14" s="87">
        <v>500313</v>
      </c>
      <c r="B14" s="90"/>
      <c r="C14" s="319">
        <v>523</v>
      </c>
      <c r="D14" s="90">
        <f t="shared" si="0"/>
        <v>523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108090</v>
      </c>
      <c r="C16" s="90"/>
      <c r="D16" s="90">
        <f t="shared" si="0"/>
        <v>-108090</v>
      </c>
      <c r="E16" s="285"/>
      <c r="F16" s="283"/>
    </row>
    <row r="17" spans="1:6" x14ac:dyDescent="0.25">
      <c r="A17" s="87">
        <v>500657</v>
      </c>
      <c r="B17" s="335">
        <v>31594</v>
      </c>
      <c r="C17" s="88">
        <v>9000</v>
      </c>
      <c r="D17" s="94">
        <f t="shared" si="0"/>
        <v>-22594</v>
      </c>
      <c r="E17" s="285"/>
      <c r="F17" s="283"/>
    </row>
    <row r="18" spans="1:6" x14ac:dyDescent="0.25">
      <c r="A18" s="87"/>
      <c r="B18" s="88"/>
      <c r="C18" s="88"/>
      <c r="D18" s="88">
        <f>SUM(D5:D17)</f>
        <v>23878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1.98</v>
      </c>
      <c r="E19" s="287"/>
      <c r="F19" s="283"/>
    </row>
    <row r="20" spans="1:6" x14ac:dyDescent="0.25">
      <c r="A20" s="87"/>
      <c r="B20" s="88"/>
      <c r="C20" s="88"/>
      <c r="D20" s="96">
        <f>+D19*D18</f>
        <v>47278.44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37134</v>
      </c>
      <c r="B22" s="88"/>
      <c r="C22" s="88"/>
      <c r="D22" s="452">
        <v>-9731.44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37139</v>
      </c>
      <c r="B24" s="88"/>
      <c r="C24" s="88"/>
      <c r="D24" s="334">
        <f>+D22+D20</f>
        <v>37547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157</v>
      </c>
      <c r="B28" s="32"/>
      <c r="C28" s="32"/>
      <c r="D28" s="32"/>
    </row>
    <row r="29" spans="1:6" x14ac:dyDescent="0.25">
      <c r="A29" s="49">
        <f>+A22</f>
        <v>37134</v>
      </c>
      <c r="B29" s="32"/>
      <c r="C29" s="32"/>
      <c r="D29" s="212">
        <v>-37683</v>
      </c>
    </row>
    <row r="30" spans="1:6" x14ac:dyDescent="0.25">
      <c r="A30" s="49">
        <f>+A24</f>
        <v>37139</v>
      </c>
      <c r="B30" s="32"/>
      <c r="C30" s="32"/>
      <c r="D30" s="379">
        <f>+D18</f>
        <v>23878</v>
      </c>
    </row>
    <row r="31" spans="1:6" x14ac:dyDescent="0.25">
      <c r="A31" s="32"/>
      <c r="B31" s="32"/>
      <c r="C31" s="32"/>
      <c r="D31" s="14">
        <f>+D30+D29</f>
        <v>-13805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D36" sqref="D3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28747</v>
      </c>
      <c r="C8" s="11">
        <v>27000</v>
      </c>
      <c r="D8" s="11">
        <v>29943</v>
      </c>
      <c r="E8" s="11">
        <v>29000</v>
      </c>
      <c r="F8" s="25">
        <f t="shared" si="2"/>
        <v>-2690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127254</v>
      </c>
      <c r="C35" s="11">
        <f>SUM(C4:C34)</f>
        <v>136567</v>
      </c>
      <c r="D35" s="11">
        <f>SUM(D4:D34)</f>
        <v>164432</v>
      </c>
      <c r="E35" s="11">
        <f>SUM(E4:E34)</f>
        <v>170252</v>
      </c>
      <c r="F35" s="11">
        <f>+E35-D35+C35-B35</f>
        <v>15133</v>
      </c>
    </row>
    <row r="36" spans="1:7" x14ac:dyDescent="0.2">
      <c r="A36" s="45"/>
      <c r="C36" s="14">
        <f>+C35-B35</f>
        <v>9313</v>
      </c>
      <c r="D36" s="14"/>
      <c r="E36" s="14">
        <f>+E35-D35</f>
        <v>5820</v>
      </c>
      <c r="F36" s="47"/>
    </row>
    <row r="37" spans="1:7" x14ac:dyDescent="0.2">
      <c r="C37" s="15">
        <f>+summary!H4</f>
        <v>1.98</v>
      </c>
      <c r="D37" s="15"/>
      <c r="E37" s="15">
        <f>+C37</f>
        <v>1.98</v>
      </c>
      <c r="F37" s="24"/>
    </row>
    <row r="38" spans="1:7" x14ac:dyDescent="0.2">
      <c r="C38" s="48">
        <f>+C37*C36</f>
        <v>18439.740000000002</v>
      </c>
      <c r="D38" s="47"/>
      <c r="E38" s="48">
        <f>+E37*E36</f>
        <v>11523.6</v>
      </c>
      <c r="F38" s="46">
        <f>+E38+C38</f>
        <v>29963.340000000004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51">
        <v>441785.89</v>
      </c>
      <c r="D40" s="111"/>
      <c r="E40" s="451">
        <v>100797.53</v>
      </c>
      <c r="F40" s="352">
        <f>+E40+C40</f>
        <v>542583.42000000004</v>
      </c>
      <c r="G40" s="25"/>
    </row>
    <row r="41" spans="1:7" x14ac:dyDescent="0.2">
      <c r="A41" s="57">
        <v>37139</v>
      </c>
      <c r="C41" s="106">
        <f>+C40+C38</f>
        <v>460225.63</v>
      </c>
      <c r="D41" s="106"/>
      <c r="E41" s="106">
        <f>+E40+E38</f>
        <v>112321.13</v>
      </c>
      <c r="F41" s="106">
        <f>+E41+C41</f>
        <v>572546.76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212">
        <v>69826</v>
      </c>
      <c r="E46" s="11"/>
      <c r="F46" s="11"/>
      <c r="G46" s="25"/>
    </row>
    <row r="47" spans="1:7" x14ac:dyDescent="0.2">
      <c r="A47" s="49">
        <f>+A41</f>
        <v>37139</v>
      </c>
      <c r="D47" s="379">
        <f>+F35</f>
        <v>15133</v>
      </c>
      <c r="E47" s="11"/>
      <c r="F47" s="11"/>
      <c r="G47" s="25"/>
    </row>
    <row r="48" spans="1:7" x14ac:dyDescent="0.2">
      <c r="D48" s="14">
        <f>+D47+D46</f>
        <v>84959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781640</v>
      </c>
      <c r="C36" s="11">
        <f>SUM(C5:C35)</f>
        <v>823006</v>
      </c>
      <c r="D36" s="11">
        <f>SUM(D5:D35)</f>
        <v>0</v>
      </c>
      <c r="E36" s="11">
        <f>SUM(E5:E35)</f>
        <v>-43234</v>
      </c>
      <c r="F36" s="11">
        <f>SUM(F5:F35)</f>
        <v>-1868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37134</v>
      </c>
      <c r="F39" s="441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37139</v>
      </c>
      <c r="F41" s="353">
        <f>+F39+F36</f>
        <v>68264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37134</v>
      </c>
      <c r="C47" s="32"/>
      <c r="D47" s="32"/>
      <c r="E47" s="440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37139</v>
      </c>
      <c r="C48" s="32"/>
      <c r="D48" s="32"/>
      <c r="E48" s="408">
        <f>+F36*'by type'!J3</f>
        <v>-3549.2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-321613.2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7" workbookViewId="3">
      <selection activeCell="C36" sqref="C36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5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5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5">
      <c r="A11" s="10">
        <v>4</v>
      </c>
      <c r="B11" s="11">
        <v>84772</v>
      </c>
      <c r="C11" s="11">
        <v>83676</v>
      </c>
      <c r="D11" s="11">
        <f t="shared" si="0"/>
        <v>-1096</v>
      </c>
      <c r="E11" s="10"/>
      <c r="F11" s="11"/>
      <c r="G11" s="11"/>
      <c r="H11" s="11"/>
    </row>
    <row r="12" spans="1:8" x14ac:dyDescent="0.25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463369</v>
      </c>
      <c r="C39" s="11">
        <f>SUM(C8:C38)</f>
        <v>460626</v>
      </c>
      <c r="D39" s="11">
        <f>SUM(D8:D38)</f>
        <v>-2743</v>
      </c>
      <c r="E39" s="10"/>
      <c r="F39" s="11"/>
      <c r="G39" s="11"/>
      <c r="H39" s="11"/>
    </row>
    <row r="40" spans="1:8" x14ac:dyDescent="0.25">
      <c r="A40" s="26"/>
      <c r="D40" s="75">
        <f>+summary!H4</f>
        <v>1.98</v>
      </c>
      <c r="E40" s="26"/>
      <c r="H40" s="75"/>
    </row>
    <row r="41" spans="1:8" x14ac:dyDescent="0.25">
      <c r="D41" s="197">
        <f>+D40*D39</f>
        <v>-5431.14</v>
      </c>
      <c r="F41" s="252"/>
      <c r="H41" s="197"/>
    </row>
    <row r="42" spans="1:8" x14ac:dyDescent="0.25">
      <c r="A42" s="57">
        <v>37134</v>
      </c>
      <c r="D42" s="456">
        <v>40807</v>
      </c>
      <c r="E42" s="57"/>
      <c r="H42" s="197"/>
    </row>
    <row r="43" spans="1:8" x14ac:dyDescent="0.25">
      <c r="A43" s="57">
        <v>37139</v>
      </c>
      <c r="D43" s="198">
        <f>+D42+D41</f>
        <v>35375.86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157</v>
      </c>
      <c r="B47" s="32"/>
      <c r="C47" s="32"/>
      <c r="D47" s="32"/>
    </row>
    <row r="48" spans="1:8" x14ac:dyDescent="0.25">
      <c r="A48" s="49">
        <f>+A42</f>
        <v>37134</v>
      </c>
      <c r="B48" s="32"/>
      <c r="C48" s="32"/>
      <c r="D48" s="212">
        <v>-36542</v>
      </c>
    </row>
    <row r="49" spans="1:4" x14ac:dyDescent="0.25">
      <c r="A49" s="49">
        <f>+A43</f>
        <v>37139</v>
      </c>
      <c r="B49" s="32"/>
      <c r="C49" s="32"/>
      <c r="D49" s="379">
        <f>+D39</f>
        <v>-2743</v>
      </c>
    </row>
    <row r="50" spans="1:4" x14ac:dyDescent="0.25">
      <c r="A50" s="32"/>
      <c r="B50" s="32"/>
      <c r="C50" s="32"/>
      <c r="D50" s="14">
        <f>+D49+D48</f>
        <v>-39285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3" sqref="B1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37134</v>
      </c>
      <c r="C5" s="454">
        <v>1299640.6599999999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37139</v>
      </c>
      <c r="J7" s="32"/>
    </row>
    <row r="8" spans="1:10" x14ac:dyDescent="0.25">
      <c r="A8" s="253">
        <v>60874</v>
      </c>
      <c r="B8" s="361">
        <v>853</v>
      </c>
      <c r="J8" s="32"/>
    </row>
    <row r="9" spans="1:10" x14ac:dyDescent="0.25">
      <c r="A9" s="253">
        <v>78169</v>
      </c>
      <c r="B9" s="361"/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/>
      <c r="J11" s="32"/>
    </row>
    <row r="12" spans="1:10" x14ac:dyDescent="0.25">
      <c r="A12" s="253">
        <v>500251</v>
      </c>
      <c r="B12" s="332">
        <f>2650-2789</f>
        <v>-139</v>
      </c>
      <c r="J12" s="32"/>
    </row>
    <row r="13" spans="1:10" x14ac:dyDescent="0.25">
      <c r="A13" s="253">
        <v>500254</v>
      </c>
      <c r="B13" s="332">
        <f>600-730</f>
        <v>-130</v>
      </c>
      <c r="J13" s="32"/>
    </row>
    <row r="14" spans="1:10" x14ac:dyDescent="0.25">
      <c r="A14" s="32">
        <v>500255</v>
      </c>
      <c r="B14" s="332">
        <f>3000-2948</f>
        <v>52</v>
      </c>
      <c r="J14" s="32"/>
    </row>
    <row r="15" spans="1:10" x14ac:dyDescent="0.25">
      <c r="A15" s="32">
        <v>500262</v>
      </c>
      <c r="B15" s="332">
        <f>1300-1266</f>
        <v>34</v>
      </c>
      <c r="J15" s="32"/>
    </row>
    <row r="16" spans="1:10" x14ac:dyDescent="0.25">
      <c r="A16" s="290">
        <v>500267</v>
      </c>
      <c r="B16" s="362">
        <f>256891-284733</f>
        <v>-27842</v>
      </c>
      <c r="J16" s="32"/>
    </row>
    <row r="17" spans="1:10" x14ac:dyDescent="0.25">
      <c r="B17" s="14">
        <f>SUM(B8:B16)</f>
        <v>-27172</v>
      </c>
      <c r="J17" s="32"/>
    </row>
    <row r="18" spans="1:10" x14ac:dyDescent="0.25">
      <c r="B18" s="15">
        <f>+B31</f>
        <v>1.98</v>
      </c>
      <c r="C18" s="201">
        <f>+B18*B17</f>
        <v>-53800.56</v>
      </c>
      <c r="G18" s="32"/>
      <c r="H18" s="413"/>
      <c r="I18" s="14"/>
      <c r="J18" s="32"/>
    </row>
    <row r="19" spans="1:10" x14ac:dyDescent="0.25">
      <c r="C19" s="339">
        <f>+C18+C5</f>
        <v>1245840.0999999999</v>
      </c>
      <c r="E19" s="15"/>
      <c r="G19" s="32"/>
      <c r="H19" s="413"/>
      <c r="I19" s="14"/>
      <c r="J19" s="32"/>
    </row>
    <row r="20" spans="1:10" x14ac:dyDescent="0.25">
      <c r="E20" s="15"/>
      <c r="G20" s="32"/>
      <c r="H20" s="413"/>
      <c r="I20" s="14"/>
      <c r="J20" s="32"/>
    </row>
    <row r="21" spans="1:10" x14ac:dyDescent="0.25">
      <c r="A21" s="32" t="s">
        <v>89</v>
      </c>
      <c r="G21" s="32"/>
      <c r="H21" s="413"/>
      <c r="I21" s="14"/>
      <c r="J21" s="32"/>
    </row>
    <row r="22" spans="1:10" x14ac:dyDescent="0.25">
      <c r="A22" s="2" t="s">
        <v>76</v>
      </c>
      <c r="G22" s="32"/>
      <c r="H22" s="413"/>
      <c r="I22" s="14"/>
      <c r="J22" s="32"/>
    </row>
    <row r="23" spans="1:10" x14ac:dyDescent="0.25">
      <c r="G23" s="32"/>
      <c r="H23" s="413"/>
      <c r="I23" s="14"/>
      <c r="J23" s="32"/>
    </row>
    <row r="24" spans="1:10" x14ac:dyDescent="0.25">
      <c r="G24" s="32"/>
      <c r="H24" s="413"/>
      <c r="I24" s="14"/>
      <c r="J24" s="32"/>
    </row>
    <row r="25" spans="1:10" x14ac:dyDescent="0.25">
      <c r="A25" s="200">
        <v>37134</v>
      </c>
      <c r="C25" s="454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37139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1.98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5">
      <c r="E37" s="49">
        <f>+A5</f>
        <v>37134</v>
      </c>
      <c r="F37" s="212">
        <v>272432</v>
      </c>
      <c r="G37" s="14">
        <v>117857</v>
      </c>
      <c r="H37" s="212">
        <v>148659</v>
      </c>
      <c r="I37" s="14"/>
    </row>
    <row r="38" spans="1:9" x14ac:dyDescent="0.25">
      <c r="E38" s="49">
        <f>+A7</f>
        <v>37139</v>
      </c>
      <c r="F38" s="379">
        <f>+B17</f>
        <v>-27172</v>
      </c>
      <c r="G38" s="379">
        <f>+B30</f>
        <v>0</v>
      </c>
      <c r="H38" s="379">
        <f>+B45</f>
        <v>1588</v>
      </c>
      <c r="I38" s="14"/>
    </row>
    <row r="39" spans="1:9" x14ac:dyDescent="0.25">
      <c r="A39" s="49">
        <v>37134</v>
      </c>
      <c r="C39" s="454">
        <v>759991.94</v>
      </c>
      <c r="F39" s="14">
        <f>+F38+F37</f>
        <v>245260</v>
      </c>
      <c r="G39" s="14">
        <f>+G38+G37</f>
        <v>117857</v>
      </c>
      <c r="H39" s="14">
        <f>+H38+H37</f>
        <v>150247</v>
      </c>
      <c r="I39" s="14">
        <f>+H39+G39+F39</f>
        <v>513364</v>
      </c>
    </row>
    <row r="40" spans="1:9" x14ac:dyDescent="0.25">
      <c r="G40" s="32"/>
      <c r="H40" s="15"/>
      <c r="I40" s="32"/>
    </row>
    <row r="41" spans="1:9" x14ac:dyDescent="0.25">
      <c r="A41" s="249">
        <v>37139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1227</v>
      </c>
      <c r="G43" s="32"/>
      <c r="H43" s="414"/>
      <c r="I43" s="14"/>
    </row>
    <row r="44" spans="1:9" x14ac:dyDescent="0.25">
      <c r="A44" s="32">
        <v>500392</v>
      </c>
      <c r="B44" s="257">
        <v>361</v>
      </c>
      <c r="G44" s="32"/>
      <c r="H44" s="414"/>
      <c r="I44" s="14"/>
    </row>
    <row r="45" spans="1:9" x14ac:dyDescent="0.25">
      <c r="B45" s="14">
        <f>SUM(B42:B44)</f>
        <v>1588</v>
      </c>
      <c r="G45" s="32"/>
      <c r="H45" s="414"/>
      <c r="I45" s="14"/>
    </row>
    <row r="46" spans="1:9" x14ac:dyDescent="0.25">
      <c r="B46" s="201">
        <f>+B31</f>
        <v>1.98</v>
      </c>
      <c r="C46" s="201">
        <f>+B46*B45</f>
        <v>3144.24</v>
      </c>
      <c r="H46" s="414"/>
      <c r="I46" s="14"/>
    </row>
    <row r="47" spans="1:9" x14ac:dyDescent="0.25">
      <c r="C47" s="339">
        <f>+C46+C39</f>
        <v>763136.17999999993</v>
      </c>
      <c r="E47" s="206"/>
      <c r="H47" s="414"/>
      <c r="I47" s="14"/>
    </row>
    <row r="48" spans="1:9" x14ac:dyDescent="0.25">
      <c r="E48" s="216"/>
      <c r="H48" s="414"/>
      <c r="I48" s="14"/>
    </row>
    <row r="49" spans="1:9" x14ac:dyDescent="0.25">
      <c r="E49" s="206"/>
      <c r="H49" s="414"/>
      <c r="I49" s="14"/>
    </row>
    <row r="50" spans="1:9" x14ac:dyDescent="0.25">
      <c r="C50" s="324"/>
      <c r="E50" s="216"/>
    </row>
    <row r="51" spans="1:9" x14ac:dyDescent="0.25">
      <c r="A51" s="32" t="s">
        <v>89</v>
      </c>
      <c r="C51" s="254"/>
    </row>
    <row r="52" spans="1:9" x14ac:dyDescent="0.25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5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5">
      <c r="H54" s="415"/>
      <c r="I54" s="16"/>
    </row>
    <row r="55" spans="1:9" x14ac:dyDescent="0.25">
      <c r="C55" s="476"/>
    </row>
    <row r="56" spans="1:9" x14ac:dyDescent="0.25">
      <c r="C56" s="331">
        <f>+C53+C52+C47+C32+C19</f>
        <v>2381351.5099999998</v>
      </c>
      <c r="I56" s="14">
        <f>SUM(I39:I53)</f>
        <v>568699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D20" sqref="D20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5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24783</v>
      </c>
      <c r="E5" s="11">
        <v>22824</v>
      </c>
      <c r="F5" s="11">
        <f t="shared" ref="F5:F34" si="0">+E5+C5-D5-B5</f>
        <v>-1959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24558</v>
      </c>
      <c r="E7" s="11">
        <v>24000</v>
      </c>
      <c r="F7" s="11">
        <f t="shared" si="0"/>
        <v>-558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24079</v>
      </c>
      <c r="E8" s="11">
        <v>24000</v>
      </c>
      <c r="F8" s="11">
        <f t="shared" si="0"/>
        <v>-79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212">
        <v>-178519</v>
      </c>
      <c r="J34" s="212">
        <v>-46913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124072</v>
      </c>
      <c r="E35" s="11">
        <f>SUM(E4:E34)</f>
        <v>118201</v>
      </c>
      <c r="F35" s="11">
        <f>SUM(F4:F34)</f>
        <v>-5871</v>
      </c>
      <c r="G35" s="11"/>
      <c r="H35" s="49">
        <f>+A40</f>
        <v>37139</v>
      </c>
      <c r="I35" s="379">
        <f>+C36</f>
        <v>0</v>
      </c>
      <c r="J35" s="379">
        <f>+E36</f>
        <v>-5871</v>
      </c>
      <c r="K35" s="208"/>
      <c r="L35" s="14"/>
    </row>
    <row r="36" spans="1:13" x14ac:dyDescent="0.25">
      <c r="C36" s="25">
        <f>+C35-B35</f>
        <v>0</v>
      </c>
      <c r="E36" s="25">
        <f>+E35-D35</f>
        <v>-5871</v>
      </c>
      <c r="F36" s="25">
        <f>+E36+C36</f>
        <v>-5871</v>
      </c>
      <c r="H36" s="32"/>
      <c r="I36" s="14">
        <f>+I35+I34</f>
        <v>-178519</v>
      </c>
      <c r="J36" s="14">
        <f>+J35+J34</f>
        <v>-52784</v>
      </c>
      <c r="K36" s="14">
        <f>+J36+I36</f>
        <v>-231303</v>
      </c>
      <c r="L36" s="14"/>
    </row>
    <row r="37" spans="1:13" x14ac:dyDescent="0.25">
      <c r="C37" s="329">
        <f>+summary!H5</f>
        <v>2.02</v>
      </c>
      <c r="E37" s="104">
        <f>+C37</f>
        <v>2.02</v>
      </c>
      <c r="F37" s="138">
        <f>+F36*E37</f>
        <v>-11859.42</v>
      </c>
    </row>
    <row r="38" spans="1:13" x14ac:dyDescent="0.25">
      <c r="C38" s="138">
        <f>+C37*C36</f>
        <v>0</v>
      </c>
      <c r="E38" s="136">
        <f>+E37*E36</f>
        <v>-11859.42</v>
      </c>
      <c r="F38" s="138">
        <f>+E38+C38</f>
        <v>-11859.42</v>
      </c>
    </row>
    <row r="39" spans="1:13" x14ac:dyDescent="0.25">
      <c r="A39" s="57">
        <v>37134</v>
      </c>
      <c r="B39" s="2" t="s">
        <v>46</v>
      </c>
      <c r="C39" s="369">
        <v>-1023263</v>
      </c>
      <c r="D39" s="338"/>
      <c r="E39" s="449">
        <v>-400229</v>
      </c>
      <c r="F39" s="337">
        <f>+E39+C39</f>
        <v>-1423492</v>
      </c>
    </row>
    <row r="40" spans="1:13" x14ac:dyDescent="0.25">
      <c r="A40" s="57">
        <v>37139</v>
      </c>
      <c r="B40" s="2" t="s">
        <v>46</v>
      </c>
      <c r="C40" s="330">
        <f>+C39+C38</f>
        <v>-1023263</v>
      </c>
      <c r="D40" s="259"/>
      <c r="E40" s="330">
        <f>+E39+E38</f>
        <v>-412088.42</v>
      </c>
      <c r="F40" s="330">
        <f>+E40+C40</f>
        <v>-1435351.42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115</v>
      </c>
    </row>
    <row r="44" spans="1:13" x14ac:dyDescent="0.25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5">
      <c r="C49" s="250"/>
      <c r="D49" s="250"/>
      <c r="F49" s="349">
        <f>SUM(F40:F48)</f>
        <v>-2202124.19</v>
      </c>
      <c r="G49" s="250"/>
      <c r="K49" s="14">
        <f>SUM(K36:K48)</f>
        <v>-172492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143</v>
      </c>
      <c r="F51" s="138">
        <f>+Duke!C56</f>
        <v>2381351.5099999998</v>
      </c>
      <c r="M51" s="14">
        <f>+Duke!I56</f>
        <v>568699</v>
      </c>
    </row>
    <row r="53" spans="3:13" x14ac:dyDescent="0.25">
      <c r="F53" s="104">
        <f>+F51+F49</f>
        <v>179227.31999999983</v>
      </c>
      <c r="M53" s="16">
        <f>+M51+K49</f>
        <v>396207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G36" sqref="G36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6261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-119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31804</v>
      </c>
      <c r="C39" s="11">
        <f t="shared" si="1"/>
        <v>31918</v>
      </c>
      <c r="D39" s="11">
        <f t="shared" si="1"/>
        <v>0</v>
      </c>
      <c r="E39" s="11">
        <f t="shared" si="1"/>
        <v>0</v>
      </c>
      <c r="F39" s="11">
        <f t="shared" si="1"/>
        <v>4761</v>
      </c>
      <c r="G39" s="11">
        <f t="shared" si="1"/>
        <v>7939</v>
      </c>
      <c r="H39" s="11">
        <f t="shared" si="1"/>
        <v>10209</v>
      </c>
      <c r="I39" s="11">
        <f t="shared" si="1"/>
        <v>6290</v>
      </c>
      <c r="J39" s="25">
        <f t="shared" si="1"/>
        <v>-627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1.98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-1241.46</v>
      </c>
      <c r="L41"/>
      <c r="R41" s="138"/>
      <c r="X41" s="138"/>
    </row>
    <row r="42" spans="1:24" x14ac:dyDescent="0.25">
      <c r="A42" s="57">
        <v>37134</v>
      </c>
      <c r="C42" s="15"/>
      <c r="J42" s="359">
        <v>320982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37139</v>
      </c>
      <c r="C43" s="48"/>
      <c r="J43" s="138">
        <f>+J42+J41</f>
        <v>319740.53999999998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157</v>
      </c>
      <c r="B46" s="32"/>
      <c r="C46" s="32"/>
      <c r="D46" s="32"/>
      <c r="L46"/>
    </row>
    <row r="47" spans="1:24" x14ac:dyDescent="0.25">
      <c r="A47" s="49">
        <f>+A42</f>
        <v>37134</v>
      </c>
      <c r="B47" s="32"/>
      <c r="C47" s="32"/>
      <c r="D47" s="212">
        <v>127683</v>
      </c>
      <c r="L47"/>
    </row>
    <row r="48" spans="1:24" x14ac:dyDescent="0.25">
      <c r="A48" s="49">
        <f>+A43</f>
        <v>37139</v>
      </c>
      <c r="B48" s="32"/>
      <c r="C48" s="32"/>
      <c r="D48" s="379">
        <f>+J39</f>
        <v>-627</v>
      </c>
      <c r="L48"/>
    </row>
    <row r="49" spans="1:12" x14ac:dyDescent="0.25">
      <c r="A49" s="32"/>
      <c r="B49" s="32"/>
      <c r="C49" s="32"/>
      <c r="D49" s="14">
        <f>+D48+D47</f>
        <v>127056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A44" sqref="A4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11274</v>
      </c>
      <c r="C11" s="11">
        <v>11294</v>
      </c>
      <c r="D11" s="11">
        <v>-381</v>
      </c>
      <c r="E11" s="11"/>
      <c r="F11" s="25">
        <f t="shared" si="0"/>
        <v>401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11569</v>
      </c>
      <c r="C12" s="11">
        <v>11294</v>
      </c>
      <c r="D12" s="11">
        <v>-831</v>
      </c>
      <c r="E12" s="11"/>
      <c r="F12" s="25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56751</v>
      </c>
      <c r="C39" s="11">
        <f>SUM(C8:C38)</f>
        <v>56470</v>
      </c>
      <c r="D39" s="11">
        <f>SUM(D8:D38)</f>
        <v>-1496</v>
      </c>
      <c r="E39" s="11">
        <f>SUM(E8:E38)</f>
        <v>0</v>
      </c>
      <c r="F39" s="11">
        <f>SUM(F8:F38)</f>
        <v>1215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1.98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2405.6999999999998</v>
      </c>
      <c r="J41" s="138"/>
      <c r="N41" s="138"/>
      <c r="R41" s="138"/>
      <c r="V41" s="138"/>
      <c r="Z41" s="138"/>
    </row>
    <row r="42" spans="1:26" x14ac:dyDescent="0.25">
      <c r="A42" s="57">
        <v>37134</v>
      </c>
      <c r="C42" s="15"/>
      <c r="D42" s="15"/>
      <c r="E42" s="15"/>
      <c r="F42" s="450">
        <v>428201.87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37139</v>
      </c>
      <c r="C43" s="48"/>
      <c r="D43" s="48"/>
      <c r="E43" s="48"/>
      <c r="F43" s="110">
        <f>+F42+F41</f>
        <v>430607.57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157</v>
      </c>
      <c r="B46" s="32"/>
      <c r="C46" s="32"/>
      <c r="D46" s="32"/>
      <c r="E46" s="11"/>
    </row>
    <row r="47" spans="1:26" x14ac:dyDescent="0.25">
      <c r="A47" s="49">
        <f>+A42</f>
        <v>37134</v>
      </c>
      <c r="B47" s="32"/>
      <c r="C47" s="32"/>
      <c r="D47" s="212">
        <v>-240823</v>
      </c>
      <c r="E47" s="11"/>
    </row>
    <row r="48" spans="1:26" x14ac:dyDescent="0.25">
      <c r="A48" s="49">
        <f>+A43</f>
        <v>37139</v>
      </c>
      <c r="B48" s="32"/>
      <c r="C48" s="32"/>
      <c r="D48" s="379">
        <f>+F39</f>
        <v>1215</v>
      </c>
      <c r="E48" s="11"/>
    </row>
    <row r="49" spans="1:5" x14ac:dyDescent="0.25">
      <c r="A49" s="32"/>
      <c r="B49" s="32"/>
      <c r="C49" s="32"/>
      <c r="D49" s="14">
        <f>+D48+D47</f>
        <v>-239608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16" workbookViewId="0">
      <selection activeCell="B15" sqref="B15"/>
    </sheetView>
    <sheetView topLeftCell="A7" workbookViewId="1">
      <selection activeCell="B16" sqref="B16"/>
    </sheetView>
    <sheetView tabSelected="1" topLeftCell="A19" workbookViewId="2">
      <selection activeCell="J34" sqref="J34"/>
    </sheetView>
    <sheetView tabSelected="1" topLeftCell="A28" workbookViewId="3">
      <selection activeCell="B39" sqref="B39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5">
      <c r="G3" s="299" t="s">
        <v>30</v>
      </c>
      <c r="H3" s="372">
        <f>+'[1]0701'!$K$39</f>
        <v>1.9</v>
      </c>
      <c r="I3" s="407">
        <f ca="1">NOW()</f>
        <v>37141.458023726853</v>
      </c>
    </row>
    <row r="4" spans="1:32" ht="15" customHeight="1" x14ac:dyDescent="0.25">
      <c r="A4" s="34" t="s">
        <v>152</v>
      </c>
      <c r="C4" s="34" t="s">
        <v>5</v>
      </c>
      <c r="G4" s="300" t="s">
        <v>31</v>
      </c>
      <c r="H4" s="301">
        <f>+'[1]0701'!$M$39</f>
        <v>1.98</v>
      </c>
    </row>
    <row r="5" spans="1:32" ht="15" customHeight="1" x14ac:dyDescent="0.25">
      <c r="B5" s="367"/>
      <c r="G5" s="299" t="s">
        <v>120</v>
      </c>
      <c r="H5" s="372">
        <f>+'[1]0701'!$H$39</f>
        <v>2.02</v>
      </c>
    </row>
    <row r="6" spans="1:32" ht="9.9" customHeight="1" x14ac:dyDescent="0.25"/>
    <row r="7" spans="1:32" ht="15" customHeight="1" x14ac:dyDescent="0.25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5">
      <c r="A8" s="253" t="s">
        <v>83</v>
      </c>
      <c r="B8" s="375">
        <f>+Conoco!$F$41</f>
        <v>572546.76</v>
      </c>
      <c r="C8" s="285">
        <f>+B8/$H$4</f>
        <v>289165.03030303033</v>
      </c>
      <c r="D8" s="397">
        <f>+Conoco!A41</f>
        <v>37139</v>
      </c>
      <c r="E8" s="32" t="s">
        <v>88</v>
      </c>
      <c r="F8" s="32" t="s">
        <v>116</v>
      </c>
      <c r="G8" s="32" t="s">
        <v>149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374" t="s">
        <v>29</v>
      </c>
      <c r="B9" s="375">
        <f>+C9*$H$3</f>
        <v>483065.5</v>
      </c>
      <c r="C9" s="285">
        <f>+williams!J40</f>
        <v>254245</v>
      </c>
      <c r="D9" s="397">
        <f>+williams!A40</f>
        <v>37139</v>
      </c>
      <c r="E9" s="206" t="s">
        <v>87</v>
      </c>
      <c r="F9" s="206" t="s">
        <v>151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3" t="s">
        <v>154</v>
      </c>
      <c r="B10" s="375">
        <f>+PGETX!$H$39</f>
        <v>475079</v>
      </c>
      <c r="C10" s="285">
        <f>+B10/$H$4</f>
        <v>239938.88888888891</v>
      </c>
      <c r="D10" s="398">
        <f>+PGETX!E39</f>
        <v>37139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3</v>
      </c>
      <c r="B11" s="375">
        <f>+'Amoco Abo'!$F$43</f>
        <v>430607.57</v>
      </c>
      <c r="C11" s="285">
        <f>+B11/$H$4</f>
        <v>217478.5707070707</v>
      </c>
      <c r="D11" s="398">
        <f>+'Amoco Abo'!A43</f>
        <v>37139</v>
      </c>
      <c r="E11" s="32" t="s">
        <v>88</v>
      </c>
      <c r="F11" s="32" t="s">
        <v>118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374" t="s">
        <v>90</v>
      </c>
      <c r="B12" s="375">
        <f>+NNG!$D$24</f>
        <v>404842.22</v>
      </c>
      <c r="C12" s="285">
        <f>+B12/$H$4</f>
        <v>204465.76767676766</v>
      </c>
      <c r="D12" s="397">
        <f>+NNG!A24</f>
        <v>37139</v>
      </c>
      <c r="E12" s="206" t="s">
        <v>88</v>
      </c>
      <c r="F12" s="206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113</v>
      </c>
      <c r="B13" s="375">
        <f>+CIG!$D$43</f>
        <v>393936.82</v>
      </c>
      <c r="C13" s="285">
        <f>+B13/$H$4</f>
        <v>198957.98989898991</v>
      </c>
      <c r="D13" s="398">
        <f>+CIG!A43</f>
        <v>37137</v>
      </c>
      <c r="E13" s="32" t="s">
        <v>88</v>
      </c>
      <c r="F13" s="32" t="s">
        <v>116</v>
      </c>
      <c r="G13" s="32" t="s">
        <v>205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91</v>
      </c>
      <c r="B14" s="375">
        <f>+C14*$H$4</f>
        <v>329165.09999999998</v>
      </c>
      <c r="C14" s="285">
        <f>+NGPL!F38</f>
        <v>166245</v>
      </c>
      <c r="D14" s="398">
        <f>+NGPL!A38</f>
        <v>37139</v>
      </c>
      <c r="E14" s="32" t="s">
        <v>87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2</v>
      </c>
      <c r="B15" s="375">
        <f>+mewborne!$J$43</f>
        <v>319740.53999999998</v>
      </c>
      <c r="C15" s="285">
        <f>+B15/$H$4</f>
        <v>161485.12121212122</v>
      </c>
      <c r="D15" s="398">
        <f>+mewborne!A43</f>
        <v>37139</v>
      </c>
      <c r="E15" s="32" t="s">
        <v>88</v>
      </c>
      <c r="F15" s="32" t="s">
        <v>102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374" t="s">
        <v>33</v>
      </c>
      <c r="B16" s="375">
        <f>+C16*$H$4</f>
        <v>307844.46000000002</v>
      </c>
      <c r="C16" s="208">
        <f>+SoCal!F40</f>
        <v>155477</v>
      </c>
      <c r="D16" s="397">
        <f>+SoCal!A40</f>
        <v>37139</v>
      </c>
      <c r="E16" s="206" t="s">
        <v>87</v>
      </c>
      <c r="F16" s="206" t="s">
        <v>105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97</v>
      </c>
      <c r="B17" s="375">
        <f>+C17*$H$4</f>
        <v>287513.82</v>
      </c>
      <c r="C17" s="285">
        <f>+Mojave!D40</f>
        <v>145209</v>
      </c>
      <c r="D17" s="398">
        <f>+Mojave!A40</f>
        <v>37139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3" t="s">
        <v>24</v>
      </c>
      <c r="B18" s="458">
        <f>+C18*$H$3</f>
        <v>270525.8</v>
      </c>
      <c r="C18" s="377">
        <f>+'Red C'!F43</f>
        <v>142382</v>
      </c>
      <c r="D18" s="397">
        <f>+'Red C'!B43</f>
        <v>37139</v>
      </c>
      <c r="E18" s="206" t="s">
        <v>87</v>
      </c>
      <c r="F18" s="32" t="s">
        <v>118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3" t="s">
        <v>110</v>
      </c>
      <c r="B19" s="375">
        <f>+KN_Westar!F41</f>
        <v>200100.44</v>
      </c>
      <c r="C19" s="285">
        <f>+B19/$H$4</f>
        <v>101060.82828282828</v>
      </c>
      <c r="D19" s="398">
        <f>+KN_Westar!A41</f>
        <v>37139</v>
      </c>
      <c r="E19" s="32" t="s">
        <v>88</v>
      </c>
      <c r="F19" s="32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131</v>
      </c>
      <c r="B20" s="375">
        <f>+DEFS!F53</f>
        <v>179227.31999999983</v>
      </c>
      <c r="C20" s="208">
        <f>+B20/$H$4</f>
        <v>90518.848484848408</v>
      </c>
      <c r="D20" s="398">
        <f>+DEFS!A40</f>
        <v>37139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6</v>
      </c>
      <c r="B21" s="375">
        <f>+C21*$H$3</f>
        <v>149775.1</v>
      </c>
      <c r="C21" s="285">
        <f>+Amoco!D40</f>
        <v>78829</v>
      </c>
      <c r="D21" s="398">
        <f>+Amoco!A40</f>
        <v>37139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32</v>
      </c>
      <c r="B22" s="375">
        <f>+C22*$H$4</f>
        <v>148775.22</v>
      </c>
      <c r="C22" s="285">
        <f>+Lonestar!F42</f>
        <v>75139</v>
      </c>
      <c r="D22" s="397">
        <f>+Lonestar!B42</f>
        <v>37139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3" t="s">
        <v>148</v>
      </c>
      <c r="B23" s="376">
        <f>+C23*$H$4</f>
        <v>135036</v>
      </c>
      <c r="C23" s="377">
        <f>+PEPL!D41</f>
        <v>68200</v>
      </c>
      <c r="D23" s="398">
        <f>+PEPL!A41</f>
        <v>37139</v>
      </c>
      <c r="E23" s="32" t="s">
        <v>87</v>
      </c>
      <c r="F23" s="32" t="s">
        <v>103</v>
      </c>
      <c r="G23" s="32" t="s">
        <v>147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1</v>
      </c>
      <c r="B24" s="375">
        <f>+C24*$H$3</f>
        <v>129701.59999999999</v>
      </c>
      <c r="C24" s="208">
        <f>+NW!$F$41</f>
        <v>68264</v>
      </c>
      <c r="D24" s="397">
        <f>+NW!B41</f>
        <v>37139</v>
      </c>
      <c r="E24" s="32" t="s">
        <v>87</v>
      </c>
      <c r="F24" s="32" t="s">
        <v>118</v>
      </c>
      <c r="G24" s="38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85</v>
      </c>
      <c r="B25" s="375">
        <f>+PNM!$D$23</f>
        <v>125136.40000000001</v>
      </c>
      <c r="C25" s="285">
        <f>+B25/$H$4</f>
        <v>63200.202020202029</v>
      </c>
      <c r="D25" s="398">
        <f>+PNM!A23</f>
        <v>37139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374" t="s">
        <v>132</v>
      </c>
      <c r="B26" s="375">
        <f>+Calpine!D41</f>
        <v>112815</v>
      </c>
      <c r="C26" s="208">
        <f>+B26/$H$4</f>
        <v>56977.272727272728</v>
      </c>
      <c r="D26" s="397">
        <f>+Calpine!A41</f>
        <v>37139</v>
      </c>
      <c r="E26" s="206" t="s">
        <v>88</v>
      </c>
      <c r="F26" s="206" t="s">
        <v>102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117</v>
      </c>
      <c r="B27" s="375">
        <f>+C27*$H$4</f>
        <v>98035.74</v>
      </c>
      <c r="C27" s="208">
        <f>+'PG&amp;E'!D40</f>
        <v>49513</v>
      </c>
      <c r="D27" s="398">
        <f>+'PG&amp;E'!A40</f>
        <v>37139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253" t="s">
        <v>106</v>
      </c>
      <c r="B28" s="375">
        <f>+EOG!J41</f>
        <v>97692.66</v>
      </c>
      <c r="C28" s="285">
        <f>+B28/$H$4</f>
        <v>49339.727272727272</v>
      </c>
      <c r="D28" s="397">
        <f>+EOG!A41</f>
        <v>37139</v>
      </c>
      <c r="E28" s="32" t="s">
        <v>88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3" t="s">
        <v>7</v>
      </c>
      <c r="B29" s="375">
        <f>+C29*$H$4</f>
        <v>85611.24</v>
      </c>
      <c r="C29" s="208">
        <f>+Oasis!D40</f>
        <v>43238</v>
      </c>
      <c r="D29" s="398">
        <f>+Oasis!B40</f>
        <v>37139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374" t="s">
        <v>82</v>
      </c>
      <c r="B30" s="375">
        <f>+Agave!$D$24</f>
        <v>37547</v>
      </c>
      <c r="C30" s="208">
        <f>+B30/$H$4</f>
        <v>18963.131313131315</v>
      </c>
      <c r="D30" s="397">
        <f>+Agave!A24</f>
        <v>37139</v>
      </c>
      <c r="E30" s="206" t="s">
        <v>88</v>
      </c>
      <c r="F30" s="206" t="s">
        <v>105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" customHeight="1" x14ac:dyDescent="0.25">
      <c r="A31" s="374" t="s">
        <v>74</v>
      </c>
      <c r="B31" s="376">
        <f>+transcol!$D$43</f>
        <v>35375.86</v>
      </c>
      <c r="C31" s="377">
        <f>+B31/$H$4</f>
        <v>17866.595959595961</v>
      </c>
      <c r="D31" s="397">
        <f>+transcol!A43</f>
        <v>37139</v>
      </c>
      <c r="E31" s="206" t="s">
        <v>88</v>
      </c>
      <c r="F31" s="206" t="s">
        <v>118</v>
      </c>
      <c r="G31" s="30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253" t="s">
        <v>136</v>
      </c>
      <c r="B32" s="375">
        <f>+SidR!D41</f>
        <v>30685</v>
      </c>
      <c r="C32" s="285">
        <f>+B32/$H$4</f>
        <v>15497.474747474747</v>
      </c>
      <c r="D32" s="398">
        <f>+SidR!A41</f>
        <v>37139</v>
      </c>
      <c r="E32" s="32" t="s">
        <v>88</v>
      </c>
      <c r="F32" s="32" t="s">
        <v>105</v>
      </c>
      <c r="G32" s="32" t="s">
        <v>168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374" t="s">
        <v>98</v>
      </c>
      <c r="B33" s="378">
        <f>+burlington!D42</f>
        <v>9400.5</v>
      </c>
      <c r="C33" s="71">
        <f>+B33/$H$3</f>
        <v>4947.6315789473683</v>
      </c>
      <c r="D33" s="397">
        <f>+burlington!A42</f>
        <v>37139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5">
      <c r="A34" s="32" t="s">
        <v>99</v>
      </c>
      <c r="B34" s="47">
        <f>SUM(B8:B33)</f>
        <v>5849782.6699999999</v>
      </c>
      <c r="C34" s="69">
        <f>SUM(C8:C33)</f>
        <v>2976604.081073897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374" t="s">
        <v>140</v>
      </c>
      <c r="B37" s="375">
        <f>+Citizens!D18</f>
        <v>-726637.07</v>
      </c>
      <c r="C37" s="208">
        <f>+B37/$H$4</f>
        <v>-366988.41919191915</v>
      </c>
      <c r="D37" s="397">
        <f>+Citizens!A18</f>
        <v>37139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138</v>
      </c>
      <c r="B38" s="375">
        <f>+'NS Steel'!D41</f>
        <v>-425720.76</v>
      </c>
      <c r="C38" s="208">
        <f>+B38/$H$4</f>
        <v>-215010.48484848486</v>
      </c>
      <c r="D38" s="398">
        <f>+'NS Steel'!A41</f>
        <v>37139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3" t="s">
        <v>144</v>
      </c>
      <c r="B39" s="375">
        <f>+'Citizens-Griffith'!D41</f>
        <v>-113181.34</v>
      </c>
      <c r="C39" s="285">
        <f>+B39/$H$4</f>
        <v>-57162.292929292926</v>
      </c>
      <c r="D39" s="397">
        <f>+'Citizens-Griffith'!A41</f>
        <v>37139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53" t="s">
        <v>34</v>
      </c>
      <c r="B40" s="375">
        <f>+'El Paso'!C39*summary!H4+'El Paso'!E39*summary!H3</f>
        <v>-42641.119999999995</v>
      </c>
      <c r="C40" s="285">
        <f>+'El Paso'!H39</f>
        <v>-25144</v>
      </c>
      <c r="D40" s="398">
        <f>+'El Paso'!A39</f>
        <v>37139</v>
      </c>
      <c r="E40" s="32" t="s">
        <v>87</v>
      </c>
      <c r="F40" s="32" t="s">
        <v>103</v>
      </c>
      <c r="G40" s="32" t="s">
        <v>122</v>
      </c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3.5" customHeight="1" x14ac:dyDescent="0.25">
      <c r="A41" s="253" t="s">
        <v>134</v>
      </c>
      <c r="B41" s="375">
        <f>+EPFS!D41</f>
        <v>-19625.62</v>
      </c>
      <c r="C41" s="208">
        <f>+B41/$H$5</f>
        <v>-9715.6534653465333</v>
      </c>
      <c r="D41" s="397">
        <f>+EPFS!A41</f>
        <v>37139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53" t="s">
        <v>112</v>
      </c>
      <c r="B42" s="378">
        <f>+Continental!F43</f>
        <v>-5216.57</v>
      </c>
      <c r="C42" s="379">
        <f>+B42/$H$4</f>
        <v>-2634.6313131313132</v>
      </c>
      <c r="D42" s="398">
        <f>+Continental!A43</f>
        <v>37139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5">
        <f>SUM(B37:B42)</f>
        <v>-1333022.4800000002</v>
      </c>
      <c r="C43" s="208">
        <f>SUM(C37:C42)</f>
        <v>-676655.48174817476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3">
        <f>+B43+B34</f>
        <v>4516760.1899999995</v>
      </c>
      <c r="C45" s="384">
        <f>+C43+C34</f>
        <v>2299948.5993257221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-129797</v>
      </c>
      <c r="C6" s="80"/>
      <c r="D6" s="80">
        <f t="shared" ref="D6:D14" si="0">+C6-B6</f>
        <v>129797</v>
      </c>
    </row>
    <row r="7" spans="1:8" x14ac:dyDescent="0.2">
      <c r="A7" s="32">
        <v>3531</v>
      </c>
      <c r="B7" s="323">
        <v>-130453</v>
      </c>
      <c r="C7" s="80">
        <v>-62752</v>
      </c>
      <c r="D7" s="80">
        <f t="shared" si="0"/>
        <v>67701</v>
      </c>
    </row>
    <row r="8" spans="1:8" x14ac:dyDescent="0.2">
      <c r="A8" s="32">
        <v>60667</v>
      </c>
      <c r="B8" s="323">
        <v>-42521</v>
      </c>
      <c r="C8" s="80">
        <v>-13597</v>
      </c>
      <c r="D8" s="80">
        <f t="shared" si="0"/>
        <v>28924</v>
      </c>
      <c r="H8" s="254"/>
    </row>
    <row r="9" spans="1:8" x14ac:dyDescent="0.2">
      <c r="A9" s="32">
        <v>60749</v>
      </c>
      <c r="B9" s="323">
        <v>210546</v>
      </c>
      <c r="C9" s="80">
        <v>763</v>
      </c>
      <c r="D9" s="80">
        <f t="shared" si="0"/>
        <v>-209783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/>
      <c r="C11" s="80"/>
      <c r="D11" s="80">
        <f t="shared" si="0"/>
        <v>0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16639</v>
      </c>
    </row>
    <row r="19" spans="1:5" x14ac:dyDescent="0.2">
      <c r="A19" s="32" t="s">
        <v>84</v>
      </c>
      <c r="B19" s="69"/>
      <c r="C19" s="69"/>
      <c r="D19" s="73">
        <f>+summary!H4</f>
        <v>1.98</v>
      </c>
    </row>
    <row r="20" spans="1:5" x14ac:dyDescent="0.2">
      <c r="B20" s="69"/>
      <c r="C20" s="69"/>
      <c r="D20" s="75">
        <f>+D19*D18</f>
        <v>32945.22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47">
        <v>371897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37139</v>
      </c>
      <c r="B24" s="69"/>
      <c r="C24" s="69"/>
      <c r="D24" s="351">
        <f>+D22+D20</f>
        <v>404842.22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-39871</v>
      </c>
    </row>
    <row r="33" spans="1:4" x14ac:dyDescent="0.2">
      <c r="A33" s="49">
        <f>+A24</f>
        <v>37139</v>
      </c>
      <c r="D33" s="379">
        <f>+D18</f>
        <v>16639</v>
      </c>
    </row>
    <row r="34" spans="1:4" x14ac:dyDescent="0.2">
      <c r="D34" s="14">
        <f>+D33+D32</f>
        <v>-23232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6" sqref="C6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4">
        <v>-10654</v>
      </c>
      <c r="C5" s="90">
        <v>-6710</v>
      </c>
      <c r="D5" s="90">
        <f t="shared" ref="D5:D13" si="0">+C5-B5</f>
        <v>3944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-605395</v>
      </c>
      <c r="C7" s="90">
        <v>-541704</v>
      </c>
      <c r="D7" s="90">
        <f t="shared" si="0"/>
        <v>63691</v>
      </c>
      <c r="E7" s="285"/>
      <c r="F7" s="70"/>
    </row>
    <row r="8" spans="1:13" x14ac:dyDescent="0.25">
      <c r="A8" s="87">
        <v>58710</v>
      </c>
      <c r="B8" s="364">
        <v>-1</v>
      </c>
      <c r="C8" s="90">
        <v>-230</v>
      </c>
      <c r="D8" s="90">
        <f t="shared" si="0"/>
        <v>-229</v>
      </c>
      <c r="E8" s="285"/>
      <c r="F8" s="70"/>
    </row>
    <row r="9" spans="1:13" x14ac:dyDescent="0.25">
      <c r="A9" s="87">
        <v>60921</v>
      </c>
      <c r="B9" s="319">
        <v>430152</v>
      </c>
      <c r="C9" s="90">
        <v>340561</v>
      </c>
      <c r="D9" s="90">
        <f t="shared" si="0"/>
        <v>-89591</v>
      </c>
      <c r="E9" s="285"/>
      <c r="F9" s="70"/>
    </row>
    <row r="10" spans="1:13" x14ac:dyDescent="0.25">
      <c r="A10" s="87">
        <v>78026</v>
      </c>
      <c r="B10" s="364"/>
      <c r="C10" s="90">
        <v>17447</v>
      </c>
      <c r="D10" s="90">
        <f t="shared" si="0"/>
        <v>17447</v>
      </c>
      <c r="E10" s="285"/>
      <c r="F10" s="283"/>
    </row>
    <row r="11" spans="1:13" x14ac:dyDescent="0.25">
      <c r="A11" s="87">
        <v>500084</v>
      </c>
      <c r="B11" s="364">
        <v>-3948</v>
      </c>
      <c r="C11" s="90">
        <v>-5000</v>
      </c>
      <c r="D11" s="90">
        <f t="shared" si="0"/>
        <v>-1052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-1752</v>
      </c>
      <c r="C13" s="90"/>
      <c r="D13" s="90">
        <f t="shared" si="0"/>
        <v>1752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-4038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1.98</v>
      </c>
      <c r="E18" s="287"/>
      <c r="F18" s="283"/>
    </row>
    <row r="19" spans="1:7" x14ac:dyDescent="0.25">
      <c r="A19" s="87"/>
      <c r="B19" s="88"/>
      <c r="C19" s="88"/>
      <c r="D19" s="96">
        <f>+D18*D17</f>
        <v>-7995.24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37134</v>
      </c>
      <c r="B21" s="88"/>
      <c r="C21" s="88"/>
      <c r="D21" s="452">
        <v>133131.64000000001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37139</v>
      </c>
      <c r="B23" s="88"/>
      <c r="C23" s="88"/>
      <c r="D23" s="334">
        <f>+D21+D19</f>
        <v>125136.40000000001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157</v>
      </c>
      <c r="B27" s="32"/>
      <c r="C27" s="32"/>
      <c r="D27" s="32"/>
    </row>
    <row r="28" spans="1:7" x14ac:dyDescent="0.25">
      <c r="A28" s="49">
        <f>+A21</f>
        <v>37134</v>
      </c>
      <c r="B28" s="32"/>
      <c r="C28" s="32"/>
      <c r="D28" s="212">
        <v>8541</v>
      </c>
    </row>
    <row r="29" spans="1:7" x14ac:dyDescent="0.25">
      <c r="A29" s="49">
        <f>+A23</f>
        <v>37139</v>
      </c>
      <c r="B29" s="32"/>
      <c r="C29" s="32"/>
      <c r="D29" s="379">
        <f>+D17</f>
        <v>-4038</v>
      </c>
    </row>
    <row r="30" spans="1:7" x14ac:dyDescent="0.25">
      <c r="A30" s="32"/>
      <c r="B30" s="32"/>
      <c r="C30" s="32"/>
      <c r="D30" s="14">
        <f>+D29+D28</f>
        <v>4503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E16" sqref="E16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54408</v>
      </c>
      <c r="C3" s="90">
        <v>54435</v>
      </c>
      <c r="D3" s="90">
        <v>-44839</v>
      </c>
      <c r="E3" s="90">
        <v>-19695</v>
      </c>
      <c r="F3" s="90">
        <f>+E3-D3+C3-B3</f>
        <v>25171</v>
      </c>
    </row>
    <row r="4" spans="1:6" x14ac:dyDescent="0.25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5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5">
      <c r="A6">
        <v>4</v>
      </c>
      <c r="B6" s="90">
        <v>53199</v>
      </c>
      <c r="C6" s="90">
        <v>54711</v>
      </c>
      <c r="D6" s="90">
        <v>-10157</v>
      </c>
      <c r="E6" s="90">
        <v>-19695</v>
      </c>
      <c r="F6" s="90">
        <f t="shared" ref="F6:F33" si="0">+E6-D6+C6-B6</f>
        <v>-8026</v>
      </c>
    </row>
    <row r="7" spans="1:6" x14ac:dyDescent="0.25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5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5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5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5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5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5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5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5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5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5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5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5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5">
      <c r="A30">
        <v>28</v>
      </c>
      <c r="B30" s="484"/>
      <c r="C30" s="346"/>
      <c r="D30" s="14"/>
      <c r="E30" s="14"/>
      <c r="F30" s="90">
        <f t="shared" si="0"/>
        <v>0</v>
      </c>
    </row>
    <row r="31" spans="1:6" x14ac:dyDescent="0.25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264832</v>
      </c>
      <c r="C34" s="297">
        <f>SUM(C3:C33)</f>
        <v>266342</v>
      </c>
      <c r="D34" s="14">
        <f>SUM(D3:D33)</f>
        <v>-134877</v>
      </c>
      <c r="E34" s="14">
        <f>SUM(E3:E33)</f>
        <v>-109070</v>
      </c>
      <c r="F34" s="14">
        <f>SUM(F3:F33)</f>
        <v>27317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37134</v>
      </c>
      <c r="B37" s="14"/>
      <c r="C37" s="14"/>
      <c r="D37" s="14"/>
      <c r="E37" s="14"/>
      <c r="F37" s="446">
        <v>138928</v>
      </c>
    </row>
    <row r="38" spans="1:6" x14ac:dyDescent="0.25">
      <c r="A38" s="263">
        <v>37139</v>
      </c>
      <c r="B38" s="14"/>
      <c r="C38" s="14"/>
      <c r="D38" s="14"/>
      <c r="E38" s="14"/>
      <c r="F38" s="150">
        <f>+F37+F34</f>
        <v>166245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158</v>
      </c>
      <c r="B42" s="32"/>
      <c r="C42" s="32"/>
      <c r="D42" s="47"/>
      <c r="F42" s="304"/>
    </row>
    <row r="43" spans="1:6" x14ac:dyDescent="0.25">
      <c r="A43" s="49">
        <f>+A37</f>
        <v>37134</v>
      </c>
      <c r="B43" s="32"/>
      <c r="C43" s="32"/>
      <c r="D43" s="440">
        <v>353581</v>
      </c>
      <c r="F43" s="304"/>
    </row>
    <row r="44" spans="1:6" x14ac:dyDescent="0.25">
      <c r="A44" s="49">
        <f>+A38</f>
        <v>37139</v>
      </c>
      <c r="B44" s="32"/>
      <c r="C44" s="32"/>
      <c r="D44" s="408">
        <f>+F34*'by type'!J4</f>
        <v>54087.659999999996</v>
      </c>
      <c r="F44" s="304"/>
    </row>
    <row r="45" spans="1:6" x14ac:dyDescent="0.25">
      <c r="A45" s="32"/>
      <c r="B45" s="32"/>
      <c r="C45" s="32"/>
      <c r="D45" s="202">
        <f>+D44+D43</f>
        <v>407668.66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32" sqref="C32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5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5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5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5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-95152</v>
      </c>
      <c r="C35" s="11">
        <f>SUM(C4:C34)</f>
        <v>-101407</v>
      </c>
      <c r="D35" s="11">
        <f>SUM(D4:D34)</f>
        <v>-6255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37134</v>
      </c>
      <c r="D38" s="247">
        <v>151464</v>
      </c>
    </row>
    <row r="39" spans="1:4" x14ac:dyDescent="0.25">
      <c r="A39" s="2"/>
      <c r="D39" s="24"/>
    </row>
    <row r="40" spans="1:4" x14ac:dyDescent="0.25">
      <c r="A40" s="57">
        <v>37139</v>
      </c>
      <c r="D40" s="51">
        <f>+D38+D35</f>
        <v>145209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+A38</f>
        <v>37134</v>
      </c>
      <c r="B45" s="32"/>
      <c r="C45" s="32"/>
      <c r="D45" s="202">
        <v>125521</v>
      </c>
    </row>
    <row r="46" spans="1:4" x14ac:dyDescent="0.25">
      <c r="A46" s="49">
        <f>+A40</f>
        <v>37139</v>
      </c>
      <c r="B46" s="32"/>
      <c r="C46" s="32"/>
      <c r="D46" s="408">
        <f>+D35*'by type'!J4</f>
        <v>-12384.9</v>
      </c>
    </row>
    <row r="47" spans="1:4" x14ac:dyDescent="0.25">
      <c r="A47" s="32"/>
      <c r="B47" s="32"/>
      <c r="C47" s="32"/>
      <c r="D47" s="202">
        <f>+D46+D45</f>
        <v>113136.1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5" workbookViewId="3">
      <selection activeCell="H29" sqref="H2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08">
        <v>19264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270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08">
        <v>19264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-2546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08">
        <v>19264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910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08">
        <v>19264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659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08">
        <v>19264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274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08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08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96320</v>
      </c>
      <c r="C35" s="11">
        <f t="shared" ref="C35:I35" si="1">SUM(C4:C34)</f>
        <v>96320</v>
      </c>
      <c r="D35" s="11">
        <f t="shared" si="1"/>
        <v>42159</v>
      </c>
      <c r="E35" s="11">
        <f t="shared" si="1"/>
        <v>45000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-433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1.98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-857.34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37134</v>
      </c>
      <c r="C39" s="25"/>
      <c r="E39" s="25"/>
      <c r="G39" s="25"/>
      <c r="I39" s="25"/>
      <c r="J39" s="449">
        <v>98550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37139</v>
      </c>
      <c r="J41" s="337">
        <f>+J39+J37</f>
        <v>97692.66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37134</v>
      </c>
      <c r="B46" s="32"/>
      <c r="C46" s="32"/>
      <c r="D46" s="212">
        <v>-78631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37139</v>
      </c>
      <c r="B47" s="32"/>
      <c r="C47" s="32"/>
      <c r="D47" s="379">
        <f>+J35</f>
        <v>-433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-79064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-13751</v>
      </c>
      <c r="E6" s="24">
        <v>-30508</v>
      </c>
      <c r="F6" s="24">
        <f>+C6+E6-B6-D6</f>
        <v>-16757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-6539</v>
      </c>
      <c r="E7" s="24">
        <v>-32145</v>
      </c>
      <c r="F7" s="24">
        <f t="shared" ref="F7:F36" si="0">+C7+E7-B7-D7</f>
        <v>-25606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-17873</v>
      </c>
      <c r="E8" s="24">
        <v>-31067</v>
      </c>
      <c r="F8" s="24">
        <f t="shared" si="0"/>
        <v>-13194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>
        <v>-30437</v>
      </c>
      <c r="F9" s="24">
        <f t="shared" si="0"/>
        <v>-30437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>
        <v>-4178</v>
      </c>
      <c r="F10" s="24">
        <f t="shared" si="0"/>
        <v>-4178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-38163</v>
      </c>
      <c r="E37" s="24">
        <f>SUM(E6:E36)</f>
        <v>-128335</v>
      </c>
      <c r="F37" s="24">
        <f>SUM(F6:F36)</f>
        <v>-90172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1.98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-178540.56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37134</v>
      </c>
      <c r="E40" s="14"/>
      <c r="F40" s="448">
        <v>378641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37139</v>
      </c>
      <c r="E41" s="14"/>
      <c r="F41" s="104">
        <f>+F40+F39</f>
        <v>200100.44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212">
        <v>-3870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37139</v>
      </c>
      <c r="B47" s="32"/>
      <c r="C47" s="32"/>
      <c r="D47" s="379">
        <f>+F37</f>
        <v>-90172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-94042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3" sqref="A43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1.98</v>
      </c>
    </row>
    <row r="41" spans="1:6" x14ac:dyDescent="0.25">
      <c r="F41" s="138">
        <f>+F40*F39</f>
        <v>0</v>
      </c>
    </row>
    <row r="42" spans="1:6" x14ac:dyDescent="0.25">
      <c r="A42" s="57">
        <v>37134</v>
      </c>
      <c r="C42" s="15"/>
      <c r="F42" s="359">
        <v>-5216.57</v>
      </c>
    </row>
    <row r="43" spans="1:6" x14ac:dyDescent="0.25">
      <c r="A43" s="57">
        <v>37139</v>
      </c>
      <c r="C43" s="48"/>
      <c r="F43" s="138">
        <f>+F42+F41</f>
        <v>-5216.57</v>
      </c>
    </row>
    <row r="47" spans="1:6" x14ac:dyDescent="0.25">
      <c r="A47" s="32" t="s">
        <v>157</v>
      </c>
      <c r="B47" s="32"/>
      <c r="C47" s="32"/>
      <c r="D47" s="32"/>
    </row>
    <row r="48" spans="1:6" x14ac:dyDescent="0.25">
      <c r="A48" s="49">
        <f>+A42</f>
        <v>37134</v>
      </c>
      <c r="B48" s="32"/>
      <c r="C48" s="32"/>
      <c r="D48" s="212">
        <v>-17302</v>
      </c>
    </row>
    <row r="49" spans="1:4" x14ac:dyDescent="0.25">
      <c r="A49" s="49">
        <f>+A43</f>
        <v>37139</v>
      </c>
      <c r="B49" s="32"/>
      <c r="C49" s="32"/>
      <c r="D49" s="379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B34" sqref="B34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11969</v>
      </c>
      <c r="C8" s="11"/>
      <c r="D8" s="25">
        <f>+C8-B8</f>
        <v>-11969</v>
      </c>
    </row>
    <row r="9" spans="1:4" x14ac:dyDescent="0.25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5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5">
      <c r="A40" s="26"/>
      <c r="C40" s="14"/>
      <c r="D40" s="260">
        <f>+summary!H4</f>
        <v>1.98</v>
      </c>
    </row>
    <row r="41" spans="1:4" x14ac:dyDescent="0.25">
      <c r="D41" s="138">
        <f>+D40*D39</f>
        <v>-56313.18</v>
      </c>
    </row>
    <row r="42" spans="1:4" x14ac:dyDescent="0.25">
      <c r="A42" s="57">
        <v>37134</v>
      </c>
      <c r="C42" s="15"/>
      <c r="D42" s="368">
        <v>450250</v>
      </c>
    </row>
    <row r="43" spans="1:4" x14ac:dyDescent="0.25">
      <c r="A43" s="57">
        <v>37137</v>
      </c>
      <c r="C43" s="48"/>
      <c r="D43" s="138">
        <f>+D42+D41</f>
        <v>393936.82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+A42</f>
        <v>37134</v>
      </c>
      <c r="B47" s="32"/>
      <c r="C47" s="32"/>
      <c r="D47" s="14">
        <v>50872</v>
      </c>
    </row>
    <row r="48" spans="1:4" x14ac:dyDescent="0.25">
      <c r="A48" s="49">
        <f>+A43</f>
        <v>37137</v>
      </c>
      <c r="B48" s="32"/>
      <c r="C48" s="32"/>
      <c r="D48" s="379">
        <f>+D39</f>
        <v>-28441</v>
      </c>
    </row>
    <row r="49" spans="1:4" x14ac:dyDescent="0.25">
      <c r="A49" s="32"/>
      <c r="B49" s="32"/>
      <c r="C49" s="32"/>
      <c r="D49" s="14">
        <f>+D48+D47</f>
        <v>22431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4" sqref="C34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5">
      <c r="A7" s="10">
        <v>2</v>
      </c>
      <c r="B7" s="11">
        <v>-74226</v>
      </c>
      <c r="C7" s="11">
        <v>-85101</v>
      </c>
      <c r="D7" s="25">
        <f t="shared" ref="D7:D36" si="0">+C7-B7</f>
        <v>-10875</v>
      </c>
    </row>
    <row r="8" spans="1:4" x14ac:dyDescent="0.25">
      <c r="A8" s="10">
        <v>3</v>
      </c>
      <c r="B8" s="11">
        <v>-78758</v>
      </c>
      <c r="C8" s="11">
        <v>-71658</v>
      </c>
      <c r="D8" s="25">
        <f t="shared" si="0"/>
        <v>7100</v>
      </c>
    </row>
    <row r="9" spans="1:4" x14ac:dyDescent="0.25">
      <c r="A9" s="10">
        <v>4</v>
      </c>
      <c r="B9" s="11">
        <v>-82504</v>
      </c>
      <c r="C9" s="11">
        <v>-65890</v>
      </c>
      <c r="D9" s="25">
        <f t="shared" si="0"/>
        <v>16614</v>
      </c>
    </row>
    <row r="10" spans="1:4" x14ac:dyDescent="0.25">
      <c r="A10" s="10">
        <v>5</v>
      </c>
      <c r="B10" s="11">
        <v>-72413</v>
      </c>
      <c r="C10" s="11">
        <v>-62441</v>
      </c>
      <c r="D10" s="25">
        <f t="shared" si="0"/>
        <v>9972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08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08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08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-386140</v>
      </c>
      <c r="C37" s="11">
        <f>SUM(C6:C36)</f>
        <v>-370390</v>
      </c>
      <c r="D37" s="25">
        <f>SUM(D6:D36)</f>
        <v>15750</v>
      </c>
    </row>
    <row r="38" spans="1:4" x14ac:dyDescent="0.25">
      <c r="A38" s="26"/>
      <c r="C38" s="14"/>
      <c r="D38" s="345">
        <f>+summary!H4</f>
        <v>1.98</v>
      </c>
    </row>
    <row r="39" spans="1:4" x14ac:dyDescent="0.25">
      <c r="D39" s="138">
        <f>+D38*D37</f>
        <v>31185</v>
      </c>
    </row>
    <row r="40" spans="1:4" x14ac:dyDescent="0.25">
      <c r="A40" s="57">
        <v>37134</v>
      </c>
      <c r="C40" s="15"/>
      <c r="D40" s="457">
        <v>81630</v>
      </c>
    </row>
    <row r="41" spans="1:4" x14ac:dyDescent="0.25">
      <c r="A41" s="57">
        <v>37139</v>
      </c>
      <c r="C41" s="48"/>
      <c r="D41" s="138">
        <f>+D40+D39</f>
        <v>112815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212">
        <v>130472</v>
      </c>
    </row>
    <row r="46" spans="1:4" x14ac:dyDescent="0.25">
      <c r="A46" s="49">
        <f>+A41</f>
        <v>37139</v>
      </c>
      <c r="B46" s="32"/>
      <c r="C46" s="32"/>
      <c r="D46" s="379">
        <f>+D37</f>
        <v>15750</v>
      </c>
    </row>
    <row r="47" spans="1:4" x14ac:dyDescent="0.25">
      <c r="A47" s="32"/>
      <c r="B47" s="32"/>
      <c r="C47" s="32"/>
      <c r="D47" s="14">
        <f>+D46+D45</f>
        <v>146222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C34" sqref="C34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5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5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5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5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29"/>
      <c r="C13" s="11"/>
      <c r="D13" s="25">
        <f t="shared" si="0"/>
        <v>0</v>
      </c>
    </row>
    <row r="14" spans="1:4" x14ac:dyDescent="0.25">
      <c r="A14" s="10">
        <v>9</v>
      </c>
      <c r="B14" s="129"/>
      <c r="C14" s="11"/>
      <c r="D14" s="25">
        <f t="shared" si="0"/>
        <v>0</v>
      </c>
    </row>
    <row r="15" spans="1:4" x14ac:dyDescent="0.25">
      <c r="A15" s="10">
        <v>10</v>
      </c>
      <c r="B15" s="129"/>
      <c r="C15" s="11"/>
      <c r="D15" s="25">
        <f t="shared" si="0"/>
        <v>0</v>
      </c>
    </row>
    <row r="16" spans="1:4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171133</v>
      </c>
      <c r="C37" s="11">
        <f>SUM(C6:C36)</f>
        <v>179252</v>
      </c>
      <c r="D37" s="25">
        <f>SUM(D6:D36)</f>
        <v>8119</v>
      </c>
    </row>
    <row r="38" spans="1:4" x14ac:dyDescent="0.25">
      <c r="A38" s="26"/>
      <c r="C38" s="14"/>
      <c r="D38" s="345">
        <f>+summary!H5</f>
        <v>2.02</v>
      </c>
    </row>
    <row r="39" spans="1:4" x14ac:dyDescent="0.25">
      <c r="D39" s="138">
        <f>+D38*D37</f>
        <v>16400.38</v>
      </c>
    </row>
    <row r="40" spans="1:4" x14ac:dyDescent="0.25">
      <c r="A40" s="57">
        <v>37134</v>
      </c>
      <c r="C40" s="15"/>
      <c r="D40" s="359">
        <v>-36026</v>
      </c>
    </row>
    <row r="41" spans="1:4" x14ac:dyDescent="0.25">
      <c r="A41" s="57">
        <v>37139</v>
      </c>
      <c r="C41" s="48"/>
      <c r="D41" s="138">
        <f>+D40+D39</f>
        <v>-19625.62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212">
        <v>-1369</v>
      </c>
    </row>
    <row r="46" spans="1:4" x14ac:dyDescent="0.25">
      <c r="A46" s="49">
        <f>+A41</f>
        <v>37139</v>
      </c>
      <c r="B46" s="32"/>
      <c r="C46" s="32"/>
      <c r="D46" s="379">
        <f>+D37</f>
        <v>8119</v>
      </c>
    </row>
    <row r="47" spans="1:4" x14ac:dyDescent="0.25">
      <c r="A47" s="32"/>
      <c r="B47" s="32"/>
      <c r="C47" s="32"/>
      <c r="D47" s="14">
        <f>+D46+D45</f>
        <v>6750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workbookViewId="3">
      <selection activeCell="D9" sqref="D9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62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294630</v>
      </c>
      <c r="C6" s="11">
        <v>290625</v>
      </c>
      <c r="D6" s="11">
        <v>56673</v>
      </c>
      <c r="E6" s="11">
        <v>56673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-8229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50925</v>
      </c>
      <c r="G7" s="11">
        <v>56783</v>
      </c>
      <c r="H7" s="11">
        <v>70201</v>
      </c>
      <c r="I7" s="11">
        <v>59892</v>
      </c>
      <c r="J7" s="11">
        <f t="shared" si="0"/>
        <v>-3302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1458275</v>
      </c>
      <c r="C35" s="11">
        <f t="shared" ref="C35:I35" si="3">SUM(C4:C34)</f>
        <v>1455666</v>
      </c>
      <c r="D35" s="11">
        <f t="shared" si="3"/>
        <v>307006</v>
      </c>
      <c r="E35" s="11">
        <f t="shared" si="3"/>
        <v>348496</v>
      </c>
      <c r="F35" s="11">
        <f t="shared" si="3"/>
        <v>298971</v>
      </c>
      <c r="G35" s="11">
        <f t="shared" si="3"/>
        <v>287509</v>
      </c>
      <c r="H35" s="11">
        <f t="shared" si="3"/>
        <v>411949</v>
      </c>
      <c r="I35" s="11">
        <f t="shared" si="3"/>
        <v>365024</v>
      </c>
      <c r="J35" s="11">
        <f>SUM(J4:J34)</f>
        <v>-19506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5">
      <c r="A38" s="56">
        <v>37134</v>
      </c>
      <c r="C38" s="25"/>
      <c r="E38" s="25"/>
      <c r="G38" s="25"/>
      <c r="I38" s="25"/>
      <c r="J38" s="439">
        <v>273751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5">
      <c r="A40" s="33">
        <v>37139</v>
      </c>
      <c r="J40" s="51">
        <f>+J38+J35</f>
        <v>254245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5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37134</v>
      </c>
      <c r="B46" s="32"/>
      <c r="C46" s="32"/>
      <c r="D46" s="440">
        <v>1283960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37139</v>
      </c>
      <c r="B47" s="32"/>
      <c r="C47" s="32"/>
      <c r="D47" s="408">
        <f>+J35*'by type'!J3</f>
        <v>-37061.4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1246898.6000000001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5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5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64"/>
      <c r="S295" s="1"/>
    </row>
    <row r="296" spans="9:21" x14ac:dyDescent="0.25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64"/>
      <c r="S337" s="1"/>
    </row>
    <row r="338" spans="11:21" x14ac:dyDescent="0.25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64"/>
      <c r="S379" s="1"/>
    </row>
    <row r="380" spans="11:21" x14ac:dyDescent="0.25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64"/>
      <c r="S423" s="1"/>
    </row>
    <row r="424" spans="11:21" x14ac:dyDescent="0.25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5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5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5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5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281999</v>
      </c>
      <c r="C37" s="11">
        <f>SUM(C6:C36)</f>
        <v>290499</v>
      </c>
      <c r="D37" s="25">
        <f>SUM(D6:D36)</f>
        <v>8500</v>
      </c>
    </row>
    <row r="38" spans="1:4" x14ac:dyDescent="0.25">
      <c r="A38" s="26"/>
      <c r="C38" s="14"/>
      <c r="D38" s="345">
        <f>+summary!H5</f>
        <v>2.02</v>
      </c>
    </row>
    <row r="39" spans="1:4" x14ac:dyDescent="0.25">
      <c r="D39" s="138">
        <f>+D38*D37</f>
        <v>17170</v>
      </c>
    </row>
    <row r="40" spans="1:4" x14ac:dyDescent="0.25">
      <c r="A40" s="57">
        <v>37134</v>
      </c>
      <c r="C40" s="15"/>
      <c r="D40" s="368">
        <v>13515</v>
      </c>
    </row>
    <row r="41" spans="1:4" x14ac:dyDescent="0.25">
      <c r="A41" s="57">
        <v>37139</v>
      </c>
      <c r="C41" s="48"/>
      <c r="D41" s="138">
        <f>+D40+D39</f>
        <v>30685</v>
      </c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212">
        <v>4742</v>
      </c>
    </row>
    <row r="47" spans="1:4" x14ac:dyDescent="0.25">
      <c r="A47" s="49">
        <f>+A41</f>
        <v>37139</v>
      </c>
      <c r="B47" s="32"/>
      <c r="C47" s="32"/>
      <c r="D47" s="379">
        <f>+D37</f>
        <v>8500</v>
      </c>
    </row>
    <row r="48" spans="1:4" x14ac:dyDescent="0.25">
      <c r="A48" s="32"/>
      <c r="B48" s="32"/>
      <c r="C48" s="32"/>
      <c r="D48" s="14">
        <f>+D47+D46</f>
        <v>13242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7" workbookViewId="3">
      <selection activeCell="B37" sqref="B37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7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5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5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5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5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67" t="s">
        <v>197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-7933</v>
      </c>
      <c r="C37" s="11">
        <f>SUM(C6:C36)</f>
        <v>-10695</v>
      </c>
      <c r="D37" s="25">
        <f>SUM(D6:D36)</f>
        <v>-2762</v>
      </c>
    </row>
    <row r="38" spans="1:4" x14ac:dyDescent="0.25">
      <c r="A38" s="26"/>
      <c r="C38" s="14"/>
      <c r="D38" s="345">
        <f>+summary!H4</f>
        <v>1.98</v>
      </c>
    </row>
    <row r="39" spans="1:4" x14ac:dyDescent="0.25">
      <c r="D39" s="138">
        <f>+D38*D37</f>
        <v>-5468.76</v>
      </c>
    </row>
    <row r="40" spans="1:4" x14ac:dyDescent="0.25">
      <c r="A40" s="57">
        <v>37134</v>
      </c>
      <c r="C40" s="15"/>
      <c r="D40" s="359">
        <v>-420252</v>
      </c>
    </row>
    <row r="41" spans="1:4" x14ac:dyDescent="0.25">
      <c r="A41" s="57">
        <v>37139</v>
      </c>
      <c r="C41" s="48"/>
      <c r="D41" s="138">
        <f>+D40+D39</f>
        <v>-425720.76</v>
      </c>
    </row>
    <row r="47" spans="1:4" x14ac:dyDescent="0.25">
      <c r="A47" s="32" t="s">
        <v>157</v>
      </c>
      <c r="B47" s="32"/>
      <c r="C47" s="32"/>
      <c r="D47" s="32"/>
    </row>
    <row r="48" spans="1:4" x14ac:dyDescent="0.25">
      <c r="A48" s="49">
        <f>+A40</f>
        <v>37134</v>
      </c>
      <c r="B48" s="32"/>
      <c r="C48" s="32"/>
      <c r="D48" s="212">
        <v>-77671</v>
      </c>
    </row>
    <row r="49" spans="1:4" x14ac:dyDescent="0.25">
      <c r="A49" s="49">
        <f>+A41</f>
        <v>37139</v>
      </c>
      <c r="B49" s="32"/>
      <c r="C49" s="32"/>
      <c r="D49" s="379">
        <f>+D37</f>
        <v>-2762</v>
      </c>
    </row>
    <row r="50" spans="1:4" x14ac:dyDescent="0.25">
      <c r="A50" s="32"/>
      <c r="B50" s="32"/>
      <c r="C50" s="32"/>
      <c r="D50" s="14">
        <f>+D49+D48</f>
        <v>-80433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7" workbookViewId="3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144</v>
      </c>
      <c r="C3" s="87"/>
      <c r="D3" s="87"/>
    </row>
    <row r="4" spans="1:4" x14ac:dyDescent="0.25">
      <c r="A4" s="3"/>
      <c r="B4" s="347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5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5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5">
      <c r="A9" s="10">
        <v>4</v>
      </c>
      <c r="B9" s="108">
        <v>0</v>
      </c>
      <c r="C9" s="11">
        <v>-5000</v>
      </c>
      <c r="D9" s="25">
        <f t="shared" si="0"/>
        <v>-5000</v>
      </c>
    </row>
    <row r="10" spans="1:4" x14ac:dyDescent="0.25">
      <c r="A10" s="10">
        <v>5</v>
      </c>
      <c r="B10" s="108">
        <v>0</v>
      </c>
      <c r="C10" s="11"/>
      <c r="D10" s="25">
        <f t="shared" si="0"/>
        <v>0</v>
      </c>
    </row>
    <row r="11" spans="1:4" x14ac:dyDescent="0.25">
      <c r="A11" s="10">
        <v>6</v>
      </c>
      <c r="B11" s="108">
        <v>0</v>
      </c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-243767</v>
      </c>
      <c r="C37" s="11">
        <f>SUM(C6:C36)</f>
        <v>-213250</v>
      </c>
      <c r="D37" s="25">
        <f>SUM(D6:D36)</f>
        <v>30517</v>
      </c>
    </row>
    <row r="38" spans="1:4" x14ac:dyDescent="0.25">
      <c r="A38" s="26"/>
      <c r="C38" s="14"/>
      <c r="D38" s="345">
        <f>+summary!H4</f>
        <v>1.98</v>
      </c>
    </row>
    <row r="39" spans="1:4" x14ac:dyDescent="0.25">
      <c r="D39" s="138">
        <f>+D38*D37</f>
        <v>60423.659999999996</v>
      </c>
    </row>
    <row r="40" spans="1:4" x14ac:dyDescent="0.25">
      <c r="A40" s="57">
        <v>37134</v>
      </c>
      <c r="C40" s="15"/>
      <c r="D40" s="359">
        <v>-173605</v>
      </c>
    </row>
    <row r="41" spans="1:4" x14ac:dyDescent="0.25">
      <c r="A41" s="57">
        <v>37139</v>
      </c>
      <c r="C41" s="48"/>
      <c r="D41" s="138">
        <f>+D40+D39</f>
        <v>-113181.34</v>
      </c>
    </row>
    <row r="42" spans="1:4" x14ac:dyDescent="0.25">
      <c r="D42" s="24"/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212">
        <v>-86184</v>
      </c>
    </row>
    <row r="47" spans="1:4" x14ac:dyDescent="0.25">
      <c r="A47" s="49">
        <f>+A41</f>
        <v>37139</v>
      </c>
      <c r="B47" s="32"/>
      <c r="C47" s="32"/>
      <c r="D47" s="379">
        <f>+D37</f>
        <v>30517</v>
      </c>
    </row>
    <row r="48" spans="1:4" x14ac:dyDescent="0.25">
      <c r="A48" s="32"/>
      <c r="B48" s="32"/>
      <c r="C48" s="32"/>
      <c r="D48" s="14">
        <f>+D47+D46</f>
        <v>-55667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4" workbookViewId="3">
      <selection activeCell="B7" sqref="B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2">
        <v>-5328</v>
      </c>
      <c r="C5" s="90">
        <v>-630</v>
      </c>
      <c r="D5" s="90">
        <f>+C5-B5</f>
        <v>4698</v>
      </c>
      <c r="E5" s="285"/>
      <c r="F5" s="283"/>
    </row>
    <row r="6" spans="1:13" x14ac:dyDescent="0.25">
      <c r="A6" s="87">
        <v>500046</v>
      </c>
      <c r="B6" s="90">
        <v>-102</v>
      </c>
      <c r="C6" s="90"/>
      <c r="D6" s="90">
        <f t="shared" ref="D6:D11" si="0">+C6-B6</f>
        <v>102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>
        <v>-10935</v>
      </c>
      <c r="C8" s="90"/>
      <c r="D8" s="90">
        <f t="shared" si="0"/>
        <v>10935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15735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1.98</v>
      </c>
      <c r="E13" s="287"/>
      <c r="F13" s="283"/>
    </row>
    <row r="14" spans="1:13" x14ac:dyDescent="0.25">
      <c r="A14" s="87"/>
      <c r="B14" s="88"/>
      <c r="C14" s="88"/>
      <c r="D14" s="96">
        <f>+D13*D12</f>
        <v>31155.3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37134</v>
      </c>
      <c r="B16" s="88"/>
      <c r="C16" s="88"/>
      <c r="D16" s="452">
        <v>-757792.37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37139</v>
      </c>
      <c r="B18" s="88"/>
      <c r="C18" s="88"/>
      <c r="D18" s="334">
        <f>+D16+D14</f>
        <v>-726637.07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157</v>
      </c>
      <c r="B21" s="32"/>
      <c r="C21" s="32"/>
      <c r="D21" s="32"/>
    </row>
    <row r="22" spans="1:7" x14ac:dyDescent="0.25">
      <c r="A22" s="49">
        <f>+A16</f>
        <v>37134</v>
      </c>
      <c r="B22" s="32"/>
      <c r="C22" s="32"/>
      <c r="D22" s="212">
        <v>-152176</v>
      </c>
    </row>
    <row r="23" spans="1:7" x14ac:dyDescent="0.25">
      <c r="A23" s="49">
        <f>+A18</f>
        <v>37139</v>
      </c>
      <c r="B23" s="32"/>
      <c r="C23" s="32"/>
      <c r="D23" s="379">
        <f>+D12</f>
        <v>15735</v>
      </c>
    </row>
    <row r="24" spans="1:7" x14ac:dyDescent="0.25">
      <c r="A24" s="32"/>
      <c r="B24" s="32"/>
      <c r="C24" s="32"/>
      <c r="D24" s="14">
        <f>+D23+D22</f>
        <v>-136441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147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5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5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5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5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-146056</v>
      </c>
      <c r="C37" s="11">
        <f>SUM(C6:C36)</f>
        <v>-135000</v>
      </c>
      <c r="D37" s="25">
        <f>SUM(D6:D36)</f>
        <v>11056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37134</v>
      </c>
      <c r="C40" s="15"/>
      <c r="D40" s="439">
        <v>57144</v>
      </c>
    </row>
    <row r="41" spans="1:4" x14ac:dyDescent="0.25">
      <c r="A41" s="57">
        <v>37139</v>
      </c>
      <c r="C41" s="48"/>
      <c r="D41" s="25">
        <f>+D40+D37</f>
        <v>68200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+A40</f>
        <v>37134</v>
      </c>
      <c r="B45" s="32"/>
      <c r="C45" s="32"/>
      <c r="D45" s="440">
        <v>288089</v>
      </c>
    </row>
    <row r="46" spans="1:4" x14ac:dyDescent="0.25">
      <c r="A46" s="49">
        <f>+A41</f>
        <v>37139</v>
      </c>
      <c r="B46" s="32"/>
      <c r="C46" s="32"/>
      <c r="D46" s="408">
        <f>+D37*'by type'!J4</f>
        <v>21890.880000000001</v>
      </c>
    </row>
    <row r="47" spans="1:4" x14ac:dyDescent="0.25">
      <c r="A47" s="32"/>
      <c r="B47" s="32"/>
      <c r="C47" s="32"/>
      <c r="D47" s="202">
        <f>+D46+D45</f>
        <v>309979.88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6" workbookViewId="3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5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5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5">
      <c r="A10" s="10">
        <v>4</v>
      </c>
      <c r="B10" s="11">
        <v>149887</v>
      </c>
      <c r="C10" s="11">
        <v>152957</v>
      </c>
      <c r="D10" s="25">
        <f t="shared" si="0"/>
        <v>3070</v>
      </c>
    </row>
    <row r="11" spans="1:4" x14ac:dyDescent="0.25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717004</v>
      </c>
      <c r="C38" s="11">
        <f>SUM(C7:C37)</f>
        <v>718659</v>
      </c>
      <c r="D38" s="11">
        <f>SUM(D7:D37)</f>
        <v>1655</v>
      </c>
    </row>
    <row r="39" spans="1:4" x14ac:dyDescent="0.25">
      <c r="A39" s="26"/>
      <c r="C39" s="14"/>
      <c r="D39" s="106">
        <f>+summary!H3</f>
        <v>1.9</v>
      </c>
    </row>
    <row r="40" spans="1:4" x14ac:dyDescent="0.25">
      <c r="D40" s="138">
        <f>+D39*D38</f>
        <v>3144.5</v>
      </c>
    </row>
    <row r="41" spans="1:4" x14ac:dyDescent="0.25">
      <c r="A41" s="57">
        <v>37134</v>
      </c>
      <c r="C41" s="15"/>
      <c r="D41" s="370">
        <v>6256</v>
      </c>
    </row>
    <row r="42" spans="1:4" x14ac:dyDescent="0.25">
      <c r="A42" s="57">
        <v>37139</v>
      </c>
      <c r="D42" s="337">
        <f>+D41+D40</f>
        <v>9400.5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+A41</f>
        <v>37134</v>
      </c>
      <c r="B47" s="32"/>
      <c r="C47" s="32"/>
      <c r="D47" s="212">
        <v>1478</v>
      </c>
    </row>
    <row r="48" spans="1:4" x14ac:dyDescent="0.25">
      <c r="A48" s="49">
        <f>+A42</f>
        <v>37139</v>
      </c>
      <c r="B48" s="32"/>
      <c r="C48" s="32"/>
      <c r="D48" s="379">
        <f>+D38</f>
        <v>1655</v>
      </c>
    </row>
    <row r="49" spans="1:4" x14ac:dyDescent="0.25">
      <c r="A49" s="32"/>
      <c r="B49" s="32"/>
      <c r="C49" s="32"/>
      <c r="D49" s="14">
        <f>+D48+D47</f>
        <v>3133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B33" sqref="B3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-28067</v>
      </c>
      <c r="C9" s="11"/>
      <c r="D9" s="11"/>
      <c r="E9" s="11">
        <v>-27302</v>
      </c>
      <c r="F9" s="11">
        <f t="shared" si="0"/>
        <v>765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-100646</v>
      </c>
      <c r="C36" s="44">
        <f>SUM(C5:C35)</f>
        <v>-2000</v>
      </c>
      <c r="D36" s="43">
        <f>SUM(D5:D35)</f>
        <v>0</v>
      </c>
      <c r="E36" s="44">
        <f>SUM(E5:E35)</f>
        <v>-96510</v>
      </c>
      <c r="F36" s="11">
        <f>SUM(F5:F35)</f>
        <v>2136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-98646</v>
      </c>
      <c r="D37" s="24"/>
      <c r="E37" s="24">
        <f>+D36-E36</f>
        <v>96510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37134</v>
      </c>
      <c r="C41" s="14"/>
      <c r="D41" s="50"/>
      <c r="E41" s="50"/>
      <c r="F41" s="247">
        <v>73003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37139</v>
      </c>
      <c r="C42" s="14"/>
      <c r="D42" s="50"/>
      <c r="E42" s="50"/>
      <c r="F42" s="51">
        <f>+F41+F36</f>
        <v>75139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158</v>
      </c>
      <c r="B46" s="32"/>
      <c r="C46" s="32"/>
      <c r="D46" s="47"/>
    </row>
    <row r="47" spans="1:12" x14ac:dyDescent="0.25">
      <c r="A47" s="49">
        <f>+B41</f>
        <v>37134</v>
      </c>
      <c r="B47" s="32"/>
      <c r="C47" s="32"/>
      <c r="D47" s="202">
        <v>71591</v>
      </c>
    </row>
    <row r="48" spans="1:12" x14ac:dyDescent="0.25">
      <c r="A48" s="49">
        <f>+B42</f>
        <v>37139</v>
      </c>
      <c r="B48" s="32"/>
      <c r="C48" s="32"/>
      <c r="D48" s="408">
        <f>+F36*'by type'!J4</f>
        <v>4229.28</v>
      </c>
    </row>
    <row r="49" spans="1:4" x14ac:dyDescent="0.25">
      <c r="A49" s="32"/>
      <c r="B49" s="32"/>
      <c r="C49" s="32"/>
      <c r="D49" s="202">
        <f>+D48+D47</f>
        <v>75820.28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workbookViewId="3">
      <selection activeCell="C9" sqref="C9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5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5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5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5">
      <c r="A8" s="10">
        <v>5</v>
      </c>
      <c r="B8" s="129">
        <v>-171442</v>
      </c>
      <c r="C8" s="11">
        <v>-172148</v>
      </c>
      <c r="D8" s="25">
        <f t="shared" si="0"/>
        <v>-706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08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08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08"/>
      <c r="C32" s="11"/>
      <c r="D32" s="25">
        <f t="shared" si="0"/>
        <v>0</v>
      </c>
    </row>
    <row r="33" spans="1:30" x14ac:dyDescent="0.25">
      <c r="A33" s="10">
        <v>30</v>
      </c>
      <c r="B33" s="108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-793799</v>
      </c>
      <c r="C35" s="11">
        <f>SUM(C4:C34)</f>
        <v>-787828</v>
      </c>
      <c r="D35" s="11">
        <f>SUM(D4:D34)</f>
        <v>5971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37134</v>
      </c>
      <c r="D38" s="247">
        <v>43542</v>
      </c>
    </row>
    <row r="39" spans="1:30" x14ac:dyDescent="0.25">
      <c r="A39" s="12"/>
      <c r="D39" s="24"/>
    </row>
    <row r="40" spans="1:30" x14ac:dyDescent="0.25">
      <c r="A40" s="249">
        <v>37139</v>
      </c>
      <c r="D40" s="24">
        <f>+D38+D35</f>
        <v>49513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158</v>
      </c>
      <c r="B44" s="32"/>
      <c r="C44" s="32"/>
      <c r="D44" s="47"/>
      <c r="K44"/>
    </row>
    <row r="45" spans="1:30" x14ac:dyDescent="0.25">
      <c r="A45" s="49">
        <f>+A38</f>
        <v>37134</v>
      </c>
      <c r="B45" s="32"/>
      <c r="C45" s="32"/>
      <c r="D45" s="440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37139</v>
      </c>
      <c r="B46" s="32"/>
      <c r="C46" s="32"/>
      <c r="D46" s="408">
        <f>+D35*'by type'!J4</f>
        <v>11822.58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-92622.42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B31" sqref="B3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5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5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5">
      <c r="A7" s="10">
        <v>4</v>
      </c>
      <c r="B7" s="11">
        <v>-684927</v>
      </c>
      <c r="C7" s="11">
        <v>-709416</v>
      </c>
      <c r="D7" s="11">
        <v>-24748</v>
      </c>
      <c r="E7" s="11">
        <v>-25000</v>
      </c>
      <c r="F7" s="25">
        <f t="shared" si="0"/>
        <v>-24741</v>
      </c>
      <c r="H7" s="10"/>
      <c r="I7" s="11"/>
      <c r="K7" s="25"/>
    </row>
    <row r="8" spans="1:11" x14ac:dyDescent="0.25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08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-3291710</v>
      </c>
      <c r="C35" s="11">
        <f>SUM(C4:C34)</f>
        <v>-3288172</v>
      </c>
      <c r="D35" s="11">
        <f>SUM(D4:D34)</f>
        <v>-125806</v>
      </c>
      <c r="E35" s="11">
        <f>SUM(E4:E34)</f>
        <v>-125000</v>
      </c>
      <c r="F35" s="11">
        <f>SUM(F4:F34)</f>
        <v>4344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37134</v>
      </c>
      <c r="F38" s="446">
        <v>151133</v>
      </c>
    </row>
    <row r="39" spans="1:45" x14ac:dyDescent="0.25">
      <c r="A39" s="2"/>
      <c r="F39" s="24"/>
    </row>
    <row r="40" spans="1:45" x14ac:dyDescent="0.25">
      <c r="A40" s="57">
        <v>37139</v>
      </c>
      <c r="F40" s="51">
        <f>+F38+F35</f>
        <v>155477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37134</v>
      </c>
      <c r="B45" s="32"/>
      <c r="C45" s="32"/>
      <c r="D45" s="440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37139</v>
      </c>
      <c r="B46" s="32"/>
      <c r="C46" s="32"/>
      <c r="D46" s="408">
        <f>+F35*'by type'!J4</f>
        <v>8601.1200000000008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473721.12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9" sqref="E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66"/>
      <c r="L4" s="466"/>
      <c r="M4" s="466"/>
      <c r="N4" s="466"/>
      <c r="O4" s="295"/>
      <c r="P4" s="295"/>
    </row>
    <row r="5" spans="1:17" ht="13.2" x14ac:dyDescent="0.25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3.2" x14ac:dyDescent="0.25">
      <c r="A6" s="41">
        <v>3</v>
      </c>
      <c r="B6" s="11">
        <v>-97853</v>
      </c>
      <c r="C6" s="11">
        <v>-72220</v>
      </c>
      <c r="D6" s="11"/>
      <c r="E6" s="11">
        <v>-24950</v>
      </c>
      <c r="F6" s="11"/>
      <c r="G6" s="11"/>
      <c r="H6" s="11">
        <f t="shared" si="0"/>
        <v>683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-102776</v>
      </c>
      <c r="C7" s="11">
        <v>-77338</v>
      </c>
      <c r="D7" s="129"/>
      <c r="E7" s="11">
        <v>-24624</v>
      </c>
      <c r="F7" s="11"/>
      <c r="G7" s="11"/>
      <c r="H7" s="11">
        <f t="shared" si="0"/>
        <v>814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-85125</v>
      </c>
      <c r="C8" s="11">
        <v>-69960</v>
      </c>
      <c r="D8" s="11"/>
      <c r="E8" s="11">
        <v>-14933</v>
      </c>
      <c r="F8" s="11"/>
      <c r="G8" s="11"/>
      <c r="H8" s="11">
        <f t="shared" si="0"/>
        <v>232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-471915</v>
      </c>
      <c r="C35" s="44">
        <f t="shared" si="3"/>
        <v>-363958</v>
      </c>
      <c r="D35" s="11">
        <f t="shared" si="3"/>
        <v>0</v>
      </c>
      <c r="E35" s="44">
        <f t="shared" si="3"/>
        <v>-106407</v>
      </c>
      <c r="F35" s="11">
        <f t="shared" si="3"/>
        <v>0</v>
      </c>
      <c r="G35" s="11">
        <f t="shared" si="3"/>
        <v>0</v>
      </c>
      <c r="H35" s="11">
        <f t="shared" si="3"/>
        <v>1550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3069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359">
        <v>472010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37139</v>
      </c>
      <c r="F39" s="47"/>
      <c r="G39" s="47"/>
      <c r="H39" s="137">
        <f>+H38+H37</f>
        <v>475079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115270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37139</v>
      </c>
      <c r="E47" s="379">
        <f>+H35</f>
        <v>1550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116820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E33" sqref="E33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-292953</v>
      </c>
      <c r="E9" s="11">
        <v>-307670</v>
      </c>
      <c r="F9" s="11"/>
      <c r="G9" s="11"/>
      <c r="H9" s="24">
        <f t="shared" si="0"/>
        <v>-14717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-1360837</v>
      </c>
      <c r="E36" s="11">
        <f t="shared" si="15"/>
        <v>-1378119</v>
      </c>
      <c r="F36" s="11">
        <f t="shared" si="15"/>
        <v>0</v>
      </c>
      <c r="G36" s="11">
        <f t="shared" si="15"/>
        <v>0</v>
      </c>
      <c r="H36" s="11">
        <f t="shared" si="15"/>
        <v>-17282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-17282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37134</v>
      </c>
      <c r="B38" s="2" t="s">
        <v>46</v>
      </c>
      <c r="C38" s="442">
        <v>64156</v>
      </c>
      <c r="D38" s="338"/>
      <c r="E38" s="443">
        <v>-72018</v>
      </c>
      <c r="F38" s="24"/>
      <c r="G38" s="24"/>
      <c r="H38" s="240">
        <f>+C38+E38+G38</f>
        <v>-7862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37139</v>
      </c>
      <c r="B39" s="2" t="s">
        <v>46</v>
      </c>
      <c r="C39" s="131">
        <f>+C38+C37</f>
        <v>64156</v>
      </c>
      <c r="D39" s="259"/>
      <c r="E39" s="131">
        <f>+E38+E37</f>
        <v>-89300</v>
      </c>
      <c r="F39" s="259"/>
      <c r="G39" s="131"/>
      <c r="H39" s="131">
        <f>+H38+H36</f>
        <v>-25144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37134</v>
      </c>
      <c r="B44" s="32"/>
      <c r="C44" s="444">
        <v>-1583274</v>
      </c>
      <c r="D44" s="207"/>
      <c r="E44" s="445">
        <v>926744</v>
      </c>
      <c r="F44" s="47">
        <f>+E44+C44</f>
        <v>-656530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37139</v>
      </c>
      <c r="B45" s="32"/>
      <c r="C45" s="47">
        <f>+C37*summary!H4</f>
        <v>0</v>
      </c>
      <c r="D45" s="207"/>
      <c r="E45" s="410">
        <f>+E37*summary!H3</f>
        <v>-32835.799999999996</v>
      </c>
      <c r="F45" s="47">
        <f>+E45+C45</f>
        <v>-32835.799999999996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-1583274</v>
      </c>
      <c r="D46" s="207"/>
      <c r="E46" s="410">
        <f>+E45+E44</f>
        <v>893908.2</v>
      </c>
      <c r="F46" s="47">
        <f>+E46+C46</f>
        <v>-689365.8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A40" sqref="A40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145756</v>
      </c>
      <c r="C9" s="11">
        <v>143874</v>
      </c>
      <c r="D9" s="25">
        <f t="shared" si="0"/>
        <v>-1882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107543</v>
      </c>
      <c r="C10" s="11">
        <v>105917</v>
      </c>
      <c r="D10" s="25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669183</v>
      </c>
      <c r="C37" s="11">
        <f>SUM(C6:C36)</f>
        <v>658115</v>
      </c>
      <c r="D37" s="11">
        <f>SUM(D6:D36)</f>
        <v>-11068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89897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37139</v>
      </c>
      <c r="C40" s="48"/>
      <c r="D40" s="25">
        <f>+D39+D37</f>
        <v>78829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503138</v>
      </c>
    </row>
    <row r="46" spans="1:16" x14ac:dyDescent="0.25">
      <c r="A46" s="49">
        <f>+A40</f>
        <v>37139</v>
      </c>
      <c r="B46" s="32"/>
      <c r="C46" s="32"/>
      <c r="D46" s="408">
        <f>+D37*'by type'!J3</f>
        <v>-21029.200000000001</v>
      </c>
    </row>
    <row r="47" spans="1:16" x14ac:dyDescent="0.25">
      <c r="A47" s="32"/>
      <c r="B47" s="32"/>
      <c r="C47" s="32"/>
      <c r="D47" s="202">
        <f>+D46+D45</f>
        <v>482108.8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2001-09-05T22:08:25Z</cp:lastPrinted>
  <dcterms:created xsi:type="dcterms:W3CDTF">2000-03-28T16:52:23Z</dcterms:created>
  <dcterms:modified xsi:type="dcterms:W3CDTF">2023-09-10T12:03:20Z</dcterms:modified>
</cp:coreProperties>
</file>