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activeTab="1"/>
    <workbookView xWindow="360" yWindow="96" windowWidth="9720" windowHeight="6792" tabRatio="895" activeTab="1"/>
    <workbookView xWindow="600" yWindow="288" windowWidth="9720" windowHeight="6600" activeTab="1"/>
    <workbookView xWindow="840" yWindow="480" windowWidth="10860" windowHeight="6408" tabRatio="601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Abo'!$A$6:$F$43</definedName>
    <definedName name="_xlnm.Print_Area" localSheetId="0">'by type_area'!$A$2:$M$81</definedName>
    <definedName name="_xlnm.Print_Area" localSheetId="27">Calpine!$A$3:$D$48</definedName>
    <definedName name="_xlnm.Print_Area" localSheetId="12">Conoco!$A$2:$F$44</definedName>
    <definedName name="_xlnm.Print_Area" localSheetId="16">DEFS!$A$1:$J$53</definedName>
    <definedName name="_xlnm.Print_Area" localSheetId="15">Duke!$A$2:$C$54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PGETX!$K$4:$P$19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summary!$A$2:$I$48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B12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A47" i="69"/>
  <c r="A48" i="69"/>
  <c r="D48" i="69"/>
  <c r="D49" i="69"/>
  <c r="J3" i="80"/>
  <c r="K3" i="80"/>
  <c r="J4" i="80"/>
  <c r="J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B19" i="80"/>
  <c r="C19" i="80"/>
  <c r="D19" i="80"/>
  <c r="E19" i="80"/>
  <c r="F19" i="80"/>
  <c r="B20" i="80"/>
  <c r="C20" i="80"/>
  <c r="D20" i="80"/>
  <c r="E20" i="80"/>
  <c r="F20" i="80"/>
  <c r="B21" i="80"/>
  <c r="C21" i="80"/>
  <c r="D21" i="80"/>
  <c r="E21" i="80"/>
  <c r="B24" i="80"/>
  <c r="C24" i="80"/>
  <c r="D24" i="80"/>
  <c r="E24" i="80"/>
  <c r="F24" i="80"/>
  <c r="B25" i="80"/>
  <c r="C25" i="80"/>
  <c r="D25" i="80"/>
  <c r="E25" i="80"/>
  <c r="F25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B40" i="80"/>
  <c r="C40" i="80"/>
  <c r="D40" i="80"/>
  <c r="E40" i="80"/>
  <c r="J46" i="80"/>
  <c r="K46" i="80"/>
  <c r="J47" i="80"/>
  <c r="J48" i="80"/>
  <c r="B55" i="80"/>
  <c r="C55" i="80"/>
  <c r="D55" i="80"/>
  <c r="E55" i="80"/>
  <c r="F55" i="80"/>
  <c r="B56" i="80"/>
  <c r="C56" i="80"/>
  <c r="D56" i="80"/>
  <c r="E56" i="80"/>
  <c r="F56" i="80"/>
  <c r="B57" i="80"/>
  <c r="C57" i="80"/>
  <c r="D57" i="80"/>
  <c r="E57" i="80"/>
  <c r="F57" i="80"/>
  <c r="B58" i="80"/>
  <c r="C58" i="80"/>
  <c r="D58" i="80"/>
  <c r="E58" i="80"/>
  <c r="F58" i="80"/>
  <c r="B59" i="80"/>
  <c r="C59" i="80"/>
  <c r="D59" i="80"/>
  <c r="E59" i="80"/>
  <c r="B62" i="80"/>
  <c r="C62" i="80"/>
  <c r="D62" i="80"/>
  <c r="E62" i="80"/>
  <c r="F62" i="80"/>
  <c r="B63" i="80"/>
  <c r="C63" i="80"/>
  <c r="D63" i="80"/>
  <c r="E63" i="80"/>
  <c r="F63" i="80"/>
  <c r="B64" i="80"/>
  <c r="C64" i="80"/>
  <c r="D64" i="80"/>
  <c r="E64" i="80"/>
  <c r="F64" i="80"/>
  <c r="B65" i="80"/>
  <c r="C65" i="80"/>
  <c r="D65" i="80"/>
  <c r="E65" i="80"/>
  <c r="F65" i="80"/>
  <c r="B66" i="80"/>
  <c r="C66" i="80"/>
  <c r="D66" i="80"/>
  <c r="E66" i="80"/>
  <c r="F66" i="80"/>
  <c r="B67" i="80"/>
  <c r="C67" i="80"/>
  <c r="D67" i="80"/>
  <c r="E67" i="80"/>
  <c r="B70" i="80"/>
  <c r="C70" i="80"/>
  <c r="D70" i="80"/>
  <c r="E70" i="80"/>
  <c r="F70" i="80"/>
  <c r="B71" i="80"/>
  <c r="C71" i="80"/>
  <c r="D71" i="80"/>
  <c r="E71" i="80"/>
  <c r="F71" i="80"/>
  <c r="B72" i="80"/>
  <c r="C72" i="80"/>
  <c r="D72" i="80"/>
  <c r="E72" i="80"/>
  <c r="F72" i="80"/>
  <c r="B73" i="80"/>
  <c r="C73" i="80"/>
  <c r="D73" i="80"/>
  <c r="E73" i="80"/>
  <c r="F73" i="80"/>
  <c r="B74" i="80"/>
  <c r="C74" i="80"/>
  <c r="D74" i="80"/>
  <c r="E74" i="80"/>
  <c r="B76" i="80"/>
  <c r="C76" i="80"/>
  <c r="D76" i="80"/>
  <c r="E76" i="80"/>
  <c r="B79" i="80"/>
  <c r="B80" i="80"/>
  <c r="A118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A46" i="13"/>
  <c r="D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F49" i="73"/>
  <c r="K49" i="73"/>
  <c r="F51" i="73"/>
  <c r="M51" i="73"/>
  <c r="F53" i="73"/>
  <c r="M53" i="73"/>
  <c r="B12" i="20"/>
  <c r="B13" i="20"/>
  <c r="B14" i="20"/>
  <c r="B15" i="20"/>
  <c r="B16" i="20"/>
  <c r="B17" i="20"/>
  <c r="B18" i="20"/>
  <c r="C18" i="20"/>
  <c r="C19" i="20"/>
  <c r="B30" i="20"/>
  <c r="B31" i="20"/>
  <c r="C31" i="20"/>
  <c r="C32" i="20"/>
  <c r="E37" i="20"/>
  <c r="E38" i="20"/>
  <c r="F38" i="20"/>
  <c r="G38" i="20"/>
  <c r="H38" i="20"/>
  <c r="F39" i="20"/>
  <c r="G39" i="20"/>
  <c r="H39" i="20"/>
  <c r="I39" i="20"/>
  <c r="B45" i="20"/>
  <c r="B46" i="20"/>
  <c r="C46" i="20"/>
  <c r="C47" i="20"/>
  <c r="C56" i="20"/>
  <c r="I56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E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D6" i="22"/>
  <c r="F6" i="22"/>
  <c r="D7" i="22"/>
  <c r="F7" i="22"/>
  <c r="D8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F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A47" i="5"/>
  <c r="A48" i="5"/>
  <c r="D48" i="5"/>
  <c r="D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A43" i="67"/>
  <c r="D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H5" i="9"/>
  <c r="H6" i="9"/>
  <c r="H7" i="9"/>
  <c r="H8" i="9"/>
  <c r="H9" i="9"/>
  <c r="N9" i="9"/>
  <c r="P9" i="9"/>
  <c r="H10" i="9"/>
  <c r="N10" i="9"/>
  <c r="P10" i="9"/>
  <c r="H11" i="9"/>
  <c r="N11" i="9"/>
  <c r="P11" i="9"/>
  <c r="H12" i="9"/>
  <c r="L12" i="9"/>
  <c r="N12" i="9"/>
  <c r="P12" i="9"/>
  <c r="H13" i="9"/>
  <c r="N13" i="9"/>
  <c r="P13" i="9"/>
  <c r="H14" i="9"/>
  <c r="L14" i="9"/>
  <c r="N14" i="9"/>
  <c r="P14" i="9"/>
  <c r="H15" i="9"/>
  <c r="N15" i="9"/>
  <c r="P15" i="9"/>
  <c r="H16" i="9"/>
  <c r="P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3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H3" i="63"/>
  <c r="I3" i="63"/>
  <c r="H4" i="63"/>
  <c r="H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B38" i="63"/>
  <c r="C38" i="63"/>
  <c r="D38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B45" i="63"/>
  <c r="C45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P5" i="2"/>
  <c r="R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J13" i="2"/>
  <c r="P13" i="2"/>
  <c r="R13" i="2"/>
  <c r="J14" i="2"/>
  <c r="J15" i="2"/>
  <c r="J16" i="2"/>
  <c r="J17" i="2"/>
  <c r="P17" i="2"/>
  <c r="R17" i="2"/>
  <c r="J18" i="2"/>
  <c r="J19" i="2"/>
  <c r="J20" i="2"/>
  <c r="J21" i="2"/>
  <c r="J22" i="2"/>
  <c r="P22" i="2"/>
  <c r="R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</calcChain>
</file>

<file path=xl/sharedStrings.xml><?xml version="1.0" encoding="utf-8"?>
<sst xmlns="http://schemas.openxmlformats.org/spreadsheetml/2006/main" count="668" uniqueCount="206">
  <si>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</si>
  <si>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</si>
  <si>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</si>
  <si>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</si>
  <si>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</si>
  <si>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</si>
  <si>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</si>
  <si>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</si>
  <si>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</si>
  <si>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</si>
  <si>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</si>
  <si>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</si>
  <si>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</si>
  <si>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</si>
  <si>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</si>
  <si>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</si>
  <si>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</si>
  <si>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</si>
  <si>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</si>
  <si>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</si>
  <si>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</si>
  <si>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</si>
  <si>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</si>
  <si>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</si>
  <si>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</si>
  <si>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</si>
  <si>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</si>
  <si>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</si>
  <si>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</si>
  <si>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</si>
  <si>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</si>
  <si>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</si>
  <si>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</si>
  <si>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</si>
  <si>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</si>
  <si>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</si>
  <si>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</si>
  <si>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</si>
  <si>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</si>
  <si>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</si>
  <si>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</si>
  <si>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</si>
  <si>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</si>
  <si>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</si>
  <si>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</si>
  <si>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</si>
  <si>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</si>
  <si>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</si>
  <si>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</si>
  <si>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</si>
  <si>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</si>
  <si>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</si>
  <si>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</si>
  <si>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</si>
  <si>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</si>
  <si>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</si>
  <si>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</si>
  <si>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</si>
  <si>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</si>
  <si>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</si>
  <si>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</si>
  <si>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</si>
  <si>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</si>
  <si>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</si>
  <si>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</si>
  <si>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</si>
  <si>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</si>
  <si>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</si>
  <si>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</si>
  <si>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</si>
  <si>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</si>
  <si>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</si>
  <si>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</si>
  <si>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</si>
  <si>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</si>
  <si>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</si>
  <si>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</si>
  <si>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</si>
  <si>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</si>
  <si>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</si>
  <si>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</si>
  <si>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</si>
  <si>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</si>
  <si>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</si>
  <si>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</si>
  <si>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</si>
  <si>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</si>
  <si>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</si>
  <si>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</si>
  <si>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</si>
  <si>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</si>
  <si>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</si>
  <si>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</si>
  <si>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</si>
  <si>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</si>
  <si>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</si>
  <si>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</si>
  <si>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</si>
  <si>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</si>
  <si>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</si>
  <si>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</si>
  <si>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</si>
  <si>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</si>
  <si>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</si>
  <si>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</si>
  <si>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</si>
  <si>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</si>
  <si>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</si>
  <si>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</si>
  <si>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</si>
  <si>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</si>
  <si>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</si>
  <si>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</si>
  <si>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</si>
  <si>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</si>
  <si>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</si>
  <si>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</si>
  <si>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</si>
  <si>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</si>
  <si>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</si>
  <si>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</si>
  <si>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</si>
  <si>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</si>
  <si>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</si>
  <si>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</si>
  <si>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</si>
  <si>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</si>
  <si>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</si>
  <si>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</si>
  <si>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</si>
  <si>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</si>
  <si>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</si>
  <si>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</si>
  <si>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</si>
  <si>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</si>
  <si>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</si>
  <si>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</si>
  <si>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</si>
  <si>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</si>
  <si>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</si>
  <si>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</si>
  <si>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</si>
  <si>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</si>
  <si>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</si>
  <si>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</si>
  <si>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</si>
  <si>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Amoco Abo fuel del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</si>
  <si>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</si>
  <si>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</si>
  <si>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</si>
  <si>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</si>
  <si>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</si>
  <si>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</si>
  <si>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</si>
  <si>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</si>
  <si>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</si>
  <si>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</t>
  </si>
  <si>
    <t>CBS Volume</t>
  </si>
  <si>
    <t>CBS Dollars</t>
  </si>
  <si>
    <t>Mrktg rep</t>
  </si>
  <si>
    <t>TK Lohman</t>
  </si>
  <si>
    <t>L Lindberg</t>
  </si>
  <si>
    <t>M Lokay</t>
  </si>
  <si>
    <t>$Value</t>
  </si>
  <si>
    <t>less CBS vol</t>
  </si>
  <si>
    <t xml:space="preserve">Calc vol </t>
  </si>
  <si>
    <t>Calc$ @curr</t>
  </si>
  <si>
    <t>CBS $</t>
  </si>
  <si>
    <t>cashed out monthly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</si>
  <si>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</si>
  <si>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</si>
  <si>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</si>
  <si>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</si>
  <si>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</si>
  <si>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</si>
  <si>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</si>
  <si>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</si>
  <si>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Calc vol @</t>
  </si>
  <si>
    <t>curr mo pr</t>
  </si>
  <si>
    <t>DOLLAR VALUED IMBALANCES</t>
  </si>
  <si>
    <t>VOLUMETRIC IMBALANCES</t>
  </si>
  <si>
    <t>Total Volumetric imbals</t>
  </si>
  <si>
    <t>Mo prices</t>
  </si>
  <si>
    <t>If $valued</t>
  </si>
  <si>
    <t>amount</t>
  </si>
  <si>
    <t>Calc$ less</t>
  </si>
  <si>
    <t>if $valued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</si>
  <si>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</si>
  <si>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</si>
  <si>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</si>
  <si>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</si>
  <si>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</si>
  <si>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</si>
  <si>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</si>
  <si>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</si>
  <si>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</si>
  <si>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</si>
  <si>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</si>
  <si>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</si>
  <si>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</si>
  <si>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</si>
  <si>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</si>
  <si>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</si>
  <si>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</si>
  <si>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</si>
  <si>
    <t>if changed to volumetric the volume would be 61,000 mmbtus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</si>
</sst>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40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sz val="9"/>
      <color indexed="12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9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2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66" fontId="9" fillId="0" borderId="0" xfId="0" applyNumberFormat="1" applyFont="1" applyBorder="1"/>
    <xf numFmtId="43" fontId="9" fillId="0" borderId="0" xfId="1" applyNumberFormat="1" applyFont="1"/>
    <xf numFmtId="37" fontId="33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4" fillId="0" borderId="0" xfId="0" applyFont="1"/>
    <xf numFmtId="5" fontId="34" fillId="0" borderId="0" xfId="0" applyNumberFormat="1" applyFont="1" applyAlignment="1">
      <alignment horizontal="right"/>
    </xf>
    <xf numFmtId="37" fontId="34" fillId="0" borderId="0" xfId="1" applyNumberFormat="1" applyFont="1" applyAlignment="1">
      <alignment horizontal="right"/>
    </xf>
    <xf numFmtId="0" fontId="11" fillId="0" borderId="1" xfId="0" applyFont="1" applyBorder="1"/>
    <xf numFmtId="5" fontId="25" fillId="0" borderId="1" xfId="0" applyNumberFormat="1" applyFont="1" applyFill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37" fontId="35" fillId="0" borderId="0" xfId="1" applyNumberFormat="1" applyFont="1" applyFill="1"/>
    <xf numFmtId="0" fontId="20" fillId="0" borderId="0" xfId="0" applyFont="1"/>
    <xf numFmtId="0" fontId="34" fillId="0" borderId="0" xfId="0" applyFont="1" applyAlignment="1">
      <alignment horizontal="center"/>
    </xf>
    <xf numFmtId="43" fontId="0" fillId="0" borderId="0" xfId="1" applyFont="1"/>
    <xf numFmtId="5" fontId="36" fillId="0" borderId="1" xfId="0" applyNumberFormat="1" applyFont="1" applyFill="1" applyBorder="1"/>
    <xf numFmtId="5" fontId="36" fillId="0" borderId="0" xfId="0" applyNumberFormat="1" applyFont="1" applyFill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7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11" fillId="0" borderId="0" xfId="1" applyNumberFormat="1" applyFont="1" applyFill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5" fontId="22" fillId="0" borderId="0" xfId="1" applyNumberFormat="1" applyFont="1"/>
    <xf numFmtId="166" fontId="25" fillId="0" borderId="1" xfId="0" applyNumberFormat="1" applyFont="1" applyFill="1" applyBorder="1"/>
    <xf numFmtId="7" fontId="38" fillId="0" borderId="1" xfId="1" applyNumberFormat="1" applyFont="1" applyFill="1" applyBorder="1"/>
    <xf numFmtId="5" fontId="25" fillId="3" borderId="1" xfId="0" applyNumberFormat="1" applyFont="1" applyFill="1" applyBorder="1"/>
    <xf numFmtId="5" fontId="9" fillId="0" borderId="0" xfId="2" applyNumberFormat="1" applyFont="1" applyBorder="1" applyAlignment="1">
      <alignment horizontal="right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9" fillId="0" borderId="0" xfId="0" applyNumberFormat="1" applyFont="1"/>
    <xf numFmtId="37" fontId="39" fillId="0" borderId="0" xfId="1" applyNumberFormat="1" applyFont="1"/>
    <xf numFmtId="0" fontId="39" fillId="0" borderId="0" xfId="0" applyFont="1"/>
    <xf numFmtId="0" fontId="39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166" fontId="3" fillId="3" borderId="0" xfId="1" applyNumberFormat="1" applyFont="1" applyFill="1" applyBorder="1"/>
    <xf numFmtId="166" fontId="25" fillId="5" borderId="1" xfId="1" applyNumberFormat="1" applyFont="1" applyFill="1" applyBorder="1"/>
    <xf numFmtId="5" fontId="22" fillId="5" borderId="0" xfId="1" applyNumberFormat="1" applyFont="1" applyFill="1"/>
    <xf numFmtId="37" fontId="25" fillId="5" borderId="0" xfId="1" applyNumberFormat="1" applyFont="1" applyFill="1" applyBorder="1"/>
    <xf numFmtId="37" fontId="25" fillId="5" borderId="0" xfId="1" applyNumberFormat="1" applyFont="1" applyFill="1"/>
    <xf numFmtId="5" fontId="22" fillId="5" borderId="0" xfId="0" applyNumberFormat="1" applyFont="1" applyFill="1"/>
    <xf numFmtId="5" fontId="25" fillId="5" borderId="0" xfId="1" applyNumberFormat="1" applyFont="1" applyFill="1" applyAlignment="1"/>
    <xf numFmtId="166" fontId="25" fillId="5" borderId="0" xfId="1" applyNumberFormat="1" applyFont="1" applyFill="1" applyBorder="1"/>
    <xf numFmtId="5" fontId="25" fillId="5" borderId="0" xfId="1" applyNumberFormat="1" applyFont="1" applyFill="1"/>
    <xf numFmtId="5" fontId="25" fillId="5" borderId="1" xfId="1" applyNumberFormat="1" applyFont="1" applyFill="1" applyBorder="1"/>
    <xf numFmtId="166" fontId="22" fillId="5" borderId="0" xfId="1" applyNumberFormat="1" applyFont="1" applyFill="1"/>
    <xf numFmtId="7" fontId="25" fillId="5" borderId="0" xfId="1" applyNumberFormat="1" applyFont="1" applyFill="1"/>
    <xf numFmtId="166" fontId="25" fillId="5" borderId="0" xfId="1" applyNumberFormat="1" applyFont="1" applyFill="1"/>
    <xf numFmtId="5" fontId="9" fillId="5" borderId="0" xfId="1" applyNumberFormat="1" applyFont="1" applyFill="1"/>
    <xf numFmtId="44" fontId="25" fillId="5" borderId="0" xfId="2" applyFont="1" applyFill="1"/>
    <xf numFmtId="7" fontId="25" fillId="5" borderId="1" xfId="0" applyNumberFormat="1" applyFont="1" applyFill="1" applyBorder="1"/>
    <xf numFmtId="7" fontId="38" fillId="5" borderId="1" xfId="1" applyNumberFormat="1" applyFont="1" applyFill="1" applyBorder="1"/>
    <xf numFmtId="5" fontId="25" fillId="5" borderId="1" xfId="0" applyNumberFormat="1" applyFont="1" applyFill="1" applyBorder="1"/>
    <xf numFmtId="192" fontId="25" fillId="5" borderId="0" xfId="0" applyNumberFormat="1" applyFont="1" applyFill="1"/>
    <xf numFmtId="5" fontId="25" fillId="5" borderId="0" xfId="0" applyNumberFormat="1" applyFont="1" applyFill="1" applyBorder="1"/>
    <xf numFmtId="7" fontId="25" fillId="5" borderId="0" xfId="0" applyNumberFormat="1" applyFont="1" applyFill="1"/>
    <xf numFmtId="166" fontId="9" fillId="5" borderId="0" xfId="1" applyNumberFormat="1" applyFont="1" applyFill="1"/>
    <xf numFmtId="5" fontId="3" fillId="5" borderId="0" xfId="1" applyNumberFormat="1" applyFont="1" applyFill="1"/>
    <xf numFmtId="7" fontId="3" fillId="5" borderId="0" xfId="0" applyNumberFormat="1" applyFont="1" applyFill="1"/>
    <xf numFmtId="5" fontId="25" fillId="5" borderId="0" xfId="0" applyNumberFormat="1" applyFont="1" applyFill="1"/>
    <xf numFmtId="5" fontId="36" fillId="5" borderId="1" xfId="0" applyNumberFormat="1" applyFont="1" applyFill="1" applyBorder="1"/>
    <xf numFmtId="5" fontId="25" fillId="5" borderId="0" xfId="0" applyNumberFormat="1" applyFont="1" applyFill="1" applyAlignment="1">
      <alignment horizontal="left" indent="2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09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01"/>
    </sheetNames>
    <sheetDataSet>
      <sheetData sheetId="0">
        <row r="39">
          <cell r="H39">
            <v>2.0699999999999998</v>
          </cell>
          <cell r="K39">
            <v>1.94</v>
          </cell>
          <cell r="M39">
            <v>2.0299999999999998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8"/>
  <sheetViews>
    <sheetView workbookViewId="0"/>
    <sheetView workbookViewId="1"/>
    <sheetView topLeftCell="A46" workbookViewId="2">
      <selection activeCell="G50" sqref="G50"/>
    </sheetView>
    <sheetView workbookViewId="3">
      <selection activeCell="D11" sqref="D11"/>
    </sheetView>
  </sheetViews>
  <sheetFormatPr defaultRowHeight="13.2" outlineLevelRow="2" x14ac:dyDescent="0.25"/>
  <cols>
    <col min="1" max="1" width="18.88671875" style="295" customWidth="1"/>
    <col min="2" max="2" width="11.109375" style="252" bestFit="1" customWidth="1"/>
    <col min="3" max="3" width="9.44140625" style="296" customWidth="1"/>
    <col min="4" max="4" width="9.88671875" bestFit="1" customWidth="1"/>
    <col min="5" max="5" width="10.6640625" bestFit="1" customWidth="1"/>
    <col min="6" max="6" width="5.109375" bestFit="1" customWidth="1"/>
    <col min="7" max="7" width="8.88671875" bestFit="1" customWidth="1"/>
    <col min="8" max="8" width="12.88671875" bestFit="1" customWidth="1"/>
    <col min="9" max="9" width="12.6640625" customWidth="1"/>
    <col min="10" max="10" width="9.5546875" bestFit="1" customWidth="1"/>
    <col min="11" max="11" width="10.44140625" bestFit="1" customWidth="1"/>
    <col min="13" max="13" width="34.44140625" customWidth="1"/>
  </cols>
  <sheetData>
    <row r="1" spans="1:32" ht="13.8" x14ac:dyDescent="0.25">
      <c r="A1" s="365"/>
    </row>
    <row r="2" spans="1:32" ht="12.9" customHeight="1" x14ac:dyDescent="0.25">
      <c r="A2" s="34" t="s">
        <v>145</v>
      </c>
      <c r="D2" s="7"/>
      <c r="I2" s="414" t="s">
        <v>81</v>
      </c>
      <c r="J2" s="417"/>
      <c r="K2" s="32"/>
    </row>
    <row r="3" spans="1:32" ht="12.9" customHeight="1" x14ac:dyDescent="0.25">
      <c r="D3" s="7"/>
      <c r="I3" s="415" t="s">
        <v>30</v>
      </c>
      <c r="J3" s="418">
        <f>+summary!H3</f>
        <v>1.94</v>
      </c>
      <c r="K3" s="435">
        <f ca="1">NOW()</f>
        <v>37147.830071759257</v>
      </c>
    </row>
    <row r="4" spans="1:32" ht="12.9" customHeight="1" x14ac:dyDescent="0.25">
      <c r="A4" s="34" t="s">
        <v>152</v>
      </c>
      <c r="C4" s="34" t="s">
        <v>5</v>
      </c>
      <c r="D4" s="7"/>
      <c r="I4" s="416" t="s">
        <v>31</v>
      </c>
      <c r="J4" s="418">
        <f>+summary!H4</f>
        <v>2.0299999999999998</v>
      </c>
      <c r="K4" s="32"/>
    </row>
    <row r="5" spans="1:32" ht="12.9" customHeight="1" x14ac:dyDescent="0.25">
      <c r="D5" s="7"/>
      <c r="I5" s="415" t="s">
        <v>120</v>
      </c>
      <c r="J5" s="418">
        <f>+summary!H5</f>
        <v>2.0699999999999998</v>
      </c>
      <c r="K5" s="32"/>
    </row>
    <row r="6" spans="1:32" ht="12" customHeight="1" x14ac:dyDescent="0.25"/>
    <row r="7" spans="1:32" ht="12.9" customHeight="1" x14ac:dyDescent="0.25">
      <c r="A7" s="433" t="s">
        <v>179</v>
      </c>
      <c r="B7" s="434"/>
      <c r="AD7" s="32"/>
      <c r="AE7" s="32"/>
      <c r="AF7" s="32"/>
    </row>
    <row r="8" spans="1:32" ht="15.9" customHeight="1" outlineLevel="2" x14ac:dyDescent="0.25">
      <c r="A8" s="32"/>
      <c r="B8" s="47"/>
      <c r="C8" s="431" t="s">
        <v>177</v>
      </c>
      <c r="D8" s="12" t="s">
        <v>156</v>
      </c>
      <c r="E8" s="12" t="s">
        <v>165</v>
      </c>
      <c r="F8" s="2" t="s">
        <v>155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" customHeight="1" outlineLevel="2" x14ac:dyDescent="0.25">
      <c r="A9" s="397" t="s">
        <v>92</v>
      </c>
      <c r="B9" s="423" t="s">
        <v>163</v>
      </c>
      <c r="C9" s="432" t="s">
        <v>178</v>
      </c>
      <c r="D9" s="465" t="s">
        <v>0</v>
      </c>
      <c r="E9" s="39" t="s">
        <v>164</v>
      </c>
      <c r="F9" s="39" t="s">
        <v>153</v>
      </c>
      <c r="G9" s="421" t="s">
        <v>159</v>
      </c>
      <c r="H9" s="398" t="s">
        <v>104</v>
      </c>
      <c r="I9" s="397" t="s">
        <v>101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2.9" customHeight="1" outlineLevel="2" x14ac:dyDescent="0.25">
      <c r="A10" s="32"/>
      <c r="B10" s="47"/>
      <c r="C10" s="69"/>
      <c r="D10" s="206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" customHeight="1" outlineLevel="2" x14ac:dyDescent="0.25">
      <c r="A11" s="397" t="s">
        <v>169</v>
      </c>
    </row>
    <row r="12" spans="1:32" ht="15.9" customHeight="1" outlineLevel="1" x14ac:dyDescent="0.25">
      <c r="A12" s="206" t="s">
        <v>132</v>
      </c>
      <c r="B12" s="373">
        <f>+Calpine!D41</f>
        <v>96412.459999999992</v>
      </c>
      <c r="C12" s="400">
        <f>+B12/$J$4</f>
        <v>47493.822660098522</v>
      </c>
      <c r="D12" s="14">
        <f>+Calpine!D47</f>
        <v>137754</v>
      </c>
      <c r="E12" s="70">
        <f>+C12-D12</f>
        <v>-90260.177339901478</v>
      </c>
      <c r="F12" s="395">
        <f>+Calpine!A41</f>
        <v>37146</v>
      </c>
      <c r="G12" s="205"/>
      <c r="H12" s="206" t="s">
        <v>102</v>
      </c>
      <c r="I12" s="379"/>
      <c r="J12" s="70"/>
      <c r="K12" s="32"/>
    </row>
    <row r="13" spans="1:32" ht="15.9" customHeight="1" outlineLevel="2" x14ac:dyDescent="0.25">
      <c r="A13" s="32" t="s">
        <v>144</v>
      </c>
      <c r="B13" s="373">
        <f>+'Citizens-Griffith'!D41</f>
        <v>-111576.32000000001</v>
      </c>
      <c r="C13" s="399">
        <f>+B13/$J$4</f>
        <v>-54963.704433497544</v>
      </c>
      <c r="D13" s="14">
        <f>+'Citizens-Griffith'!D48</f>
        <v>-55628</v>
      </c>
      <c r="E13" s="70">
        <f>+C13-D13</f>
        <v>664.2955665024565</v>
      </c>
      <c r="F13" s="395">
        <f>+'Citizens-Griffith'!A41</f>
        <v>37145</v>
      </c>
      <c r="G13" s="205" t="s">
        <v>162</v>
      </c>
      <c r="H13" s="32" t="s">
        <v>102</v>
      </c>
      <c r="I13" s="32"/>
      <c r="J13" s="32"/>
      <c r="K13" s="32"/>
    </row>
    <row r="14" spans="1:32" ht="15.9" customHeight="1" outlineLevel="2" x14ac:dyDescent="0.25">
      <c r="A14" s="32" t="s">
        <v>138</v>
      </c>
      <c r="B14" s="373">
        <f>+'NS Steel'!D41</f>
        <v>-433759.02</v>
      </c>
      <c r="C14" s="399">
        <f>+B14/$J$4</f>
        <v>-213674.39408866997</v>
      </c>
      <c r="D14" s="14">
        <f>+'NS Steel'!D50</f>
        <v>-83802</v>
      </c>
      <c r="E14" s="70">
        <f>+C14-D14</f>
        <v>-129872.39408866997</v>
      </c>
      <c r="F14" s="396">
        <f>+'NS Steel'!A41</f>
        <v>37145</v>
      </c>
      <c r="G14" s="205" t="s">
        <v>162</v>
      </c>
      <c r="H14" s="32" t="s">
        <v>103</v>
      </c>
      <c r="I14" s="32" t="s">
        <v>200</v>
      </c>
      <c r="J14" s="32"/>
      <c r="K14" s="32"/>
    </row>
    <row r="15" spans="1:32" ht="15.9" customHeight="1" outlineLevel="1" x14ac:dyDescent="0.25">
      <c r="A15" s="206" t="s">
        <v>140</v>
      </c>
      <c r="B15" s="376">
        <f>+Citizens!D18</f>
        <v>-683291.37</v>
      </c>
      <c r="C15" s="401">
        <f>+B15/$J$4</f>
        <v>-336596.73399014783</v>
      </c>
      <c r="D15" s="377">
        <f>+Citizens!D24</f>
        <v>-115476</v>
      </c>
      <c r="E15" s="72">
        <f>+C15-D15</f>
        <v>-221120.73399014783</v>
      </c>
      <c r="F15" s="395">
        <f>+Citizens!A18</f>
        <v>37145</v>
      </c>
      <c r="G15" s="205"/>
      <c r="H15" s="206" t="s">
        <v>102</v>
      </c>
      <c r="I15" s="457" t="s">
        <v>199</v>
      </c>
      <c r="J15" s="32"/>
      <c r="K15" s="32"/>
      <c r="T15" s="267"/>
    </row>
    <row r="16" spans="1:32" ht="15.9" customHeight="1" outlineLevel="2" x14ac:dyDescent="0.25">
      <c r="A16" s="153" t="s">
        <v>170</v>
      </c>
      <c r="B16" s="419">
        <f>SUBTOTAL(9,B12:B15)</f>
        <v>-1132214.25</v>
      </c>
      <c r="C16" s="426">
        <f>SUBTOTAL(9,C12:C15)</f>
        <v>-557741.00985221681</v>
      </c>
      <c r="D16" s="427">
        <f>SUBTOTAL(9,D12:D15)</f>
        <v>-117152</v>
      </c>
      <c r="E16" s="428">
        <f>SUBTOTAL(9,E12:E15)</f>
        <v>-440589.00985221681</v>
      </c>
      <c r="F16" s="395"/>
      <c r="G16" s="205"/>
      <c r="H16" s="206"/>
      <c r="I16" s="379"/>
      <c r="J16" s="32"/>
      <c r="K16" s="32"/>
      <c r="T16" s="267"/>
    </row>
    <row r="17" spans="1:20" ht="12.9" customHeight="1" outlineLevel="2" x14ac:dyDescent="0.25">
      <c r="G17" s="7"/>
    </row>
    <row r="18" spans="1:20" ht="15.9" customHeight="1" outlineLevel="2" x14ac:dyDescent="0.25">
      <c r="A18" s="430" t="s">
        <v>59</v>
      </c>
      <c r="G18" s="7"/>
    </row>
    <row r="19" spans="1:20" ht="15.9" customHeight="1" outlineLevel="2" x14ac:dyDescent="0.25">
      <c r="A19" s="32" t="s">
        <v>74</v>
      </c>
      <c r="B19" s="374">
        <f>+transcol!$D$43</f>
        <v>31633.19</v>
      </c>
      <c r="C19" s="399">
        <f>+B19/$J$4</f>
        <v>15582.85221674877</v>
      </c>
      <c r="D19" s="14">
        <f>+transcol!D50</f>
        <v>-41062</v>
      </c>
      <c r="E19" s="70">
        <f>+C19-D19</f>
        <v>56644.852216748768</v>
      </c>
      <c r="F19" s="396">
        <f>+transcol!A43</f>
        <v>37145</v>
      </c>
      <c r="G19" s="205" t="s">
        <v>161</v>
      </c>
      <c r="H19" s="32" t="s">
        <v>118</v>
      </c>
      <c r="I19" s="32"/>
      <c r="J19" s="32"/>
      <c r="K19" s="32"/>
      <c r="T19" s="267"/>
    </row>
    <row r="20" spans="1:20" ht="15.9" customHeight="1" outlineLevel="2" x14ac:dyDescent="0.25">
      <c r="A20" s="206" t="s">
        <v>98</v>
      </c>
      <c r="B20" s="376">
        <f>+burlington!D42</f>
        <v>6363.2</v>
      </c>
      <c r="C20" s="403">
        <f>+B20/$J$3</f>
        <v>3280</v>
      </c>
      <c r="D20" s="377">
        <f>+burlington!D49</f>
        <v>3280</v>
      </c>
      <c r="E20" s="72">
        <f>+C20-D20</f>
        <v>0</v>
      </c>
      <c r="F20" s="395">
        <f>+burlington!A42</f>
        <v>37145</v>
      </c>
      <c r="G20" s="205" t="s">
        <v>162</v>
      </c>
      <c r="H20" s="32" t="s">
        <v>116</v>
      </c>
      <c r="I20" s="32" t="s">
        <v>150</v>
      </c>
      <c r="J20" s="32"/>
      <c r="K20" s="32"/>
    </row>
    <row r="21" spans="1:20" ht="15.9" customHeight="1" outlineLevel="2" x14ac:dyDescent="0.25">
      <c r="A21" s="153" t="s">
        <v>172</v>
      </c>
      <c r="B21" s="419">
        <f>SUBTOTAL(9,B19:B20)</f>
        <v>37996.39</v>
      </c>
      <c r="C21" s="420">
        <f>SUBTOTAL(9,C19:C20)</f>
        <v>18862.852216748768</v>
      </c>
      <c r="D21" s="427">
        <f>SUBTOTAL(9,D19:D20)</f>
        <v>-37782</v>
      </c>
      <c r="E21" s="428">
        <f>SUBTOTAL(9,E19:E20)</f>
        <v>56644.852216748768</v>
      </c>
      <c r="F21" s="395"/>
      <c r="G21" s="32"/>
      <c r="H21" s="32"/>
      <c r="I21" s="32"/>
      <c r="J21" s="32"/>
      <c r="K21" s="32"/>
    </row>
    <row r="22" spans="1:20" ht="15.9" customHeight="1" outlineLevel="2" x14ac:dyDescent="0.25"/>
    <row r="23" spans="1:20" ht="15.9" customHeight="1" outlineLevel="2" x14ac:dyDescent="0.25">
      <c r="A23" s="397" t="s">
        <v>173</v>
      </c>
      <c r="B23" s="461"/>
      <c r="C23" s="462"/>
      <c r="D23" s="463"/>
      <c r="E23" s="463"/>
      <c r="F23" s="463"/>
      <c r="G23" s="464"/>
      <c r="H23" s="463"/>
      <c r="I23" s="463"/>
    </row>
    <row r="24" spans="1:20" ht="15.9" customHeight="1" outlineLevel="2" x14ac:dyDescent="0.25">
      <c r="A24" s="206" t="s">
        <v>90</v>
      </c>
      <c r="B24" s="373">
        <f>+NNG!$D$24</f>
        <v>562126.1</v>
      </c>
      <c r="C24" s="399">
        <f t="shared" ref="C24:C35" si="0">+B24/$J$4</f>
        <v>276909.40886699507</v>
      </c>
      <c r="D24" s="14">
        <f>+NNG!D34</f>
        <v>50049</v>
      </c>
      <c r="E24" s="70">
        <f t="shared" ref="E24:E37" si="1">+C24-D24</f>
        <v>226860.40886699507</v>
      </c>
      <c r="F24" s="395">
        <f>+NNG!A24</f>
        <v>37145</v>
      </c>
      <c r="G24" s="422" t="s">
        <v>160</v>
      </c>
      <c r="H24" s="206" t="s">
        <v>103</v>
      </c>
      <c r="I24" s="32"/>
      <c r="J24" s="32"/>
      <c r="K24" s="32"/>
    </row>
    <row r="25" spans="1:20" ht="15.9" customHeight="1" outlineLevel="2" x14ac:dyDescent="0.25">
      <c r="A25" s="32" t="s">
        <v>83</v>
      </c>
      <c r="B25" s="373">
        <f>+Conoco!$F$41</f>
        <v>508467.5</v>
      </c>
      <c r="C25" s="399">
        <f t="shared" si="0"/>
        <v>250476.60098522171</v>
      </c>
      <c r="D25" s="14">
        <f>+Conoco!D48</f>
        <v>53020</v>
      </c>
      <c r="E25" s="70">
        <f t="shared" si="1"/>
        <v>197456.60098522171</v>
      </c>
      <c r="F25" s="395">
        <f>+Conoco!A41</f>
        <v>37145</v>
      </c>
      <c r="G25" s="205" t="s">
        <v>162</v>
      </c>
      <c r="H25" s="32" t="s">
        <v>116</v>
      </c>
      <c r="I25" s="32" t="s">
        <v>195</v>
      </c>
      <c r="J25" s="32"/>
      <c r="K25" s="32"/>
    </row>
    <row r="26" spans="1:20" ht="15.9" customHeight="1" outlineLevel="2" x14ac:dyDescent="0.25">
      <c r="A26" s="32" t="s">
        <v>3</v>
      </c>
      <c r="B26" s="373">
        <f>+'Amoco Abo'!$F$43</f>
        <v>428674.93</v>
      </c>
      <c r="C26" s="399">
        <f t="shared" si="0"/>
        <v>211169.91625615765</v>
      </c>
      <c r="D26" s="14">
        <f>+'Amoco Abo'!D49</f>
        <v>-240715</v>
      </c>
      <c r="E26" s="70">
        <f t="shared" si="1"/>
        <v>451884.91625615768</v>
      </c>
      <c r="F26" s="396">
        <f>+'Amoco Abo'!A43</f>
        <v>37146</v>
      </c>
      <c r="G26" s="205" t="s">
        <v>161</v>
      </c>
      <c r="H26" s="32" t="s">
        <v>118</v>
      </c>
      <c r="I26" s="32" t="s">
        <v>196</v>
      </c>
      <c r="J26" s="32"/>
      <c r="K26" s="32"/>
    </row>
    <row r="27" spans="1:20" ht="15.9" customHeight="1" outlineLevel="2" x14ac:dyDescent="0.25">
      <c r="A27" s="32" t="s">
        <v>110</v>
      </c>
      <c r="B27" s="373">
        <f>+KN_Westar!F41</f>
        <v>366544.3</v>
      </c>
      <c r="C27" s="399">
        <f t="shared" si="0"/>
        <v>180563.69458128081</v>
      </c>
      <c r="D27" s="14">
        <f>+KN_Westar!D48</f>
        <v>-10798</v>
      </c>
      <c r="E27" s="70">
        <f t="shared" si="1"/>
        <v>191361.69458128081</v>
      </c>
      <c r="F27" s="396">
        <f>+KN_Westar!A41</f>
        <v>37142</v>
      </c>
      <c r="G27" s="205" t="s">
        <v>162</v>
      </c>
      <c r="H27" s="32" t="s">
        <v>103</v>
      </c>
      <c r="I27" s="32"/>
      <c r="J27" s="32"/>
      <c r="K27" s="32"/>
    </row>
    <row r="28" spans="1:20" ht="15.9" customHeight="1" outlineLevel="2" x14ac:dyDescent="0.25">
      <c r="A28" s="32" t="s">
        <v>131</v>
      </c>
      <c r="B28" s="373">
        <f>+DEFS!F53</f>
        <v>31736.30999999959</v>
      </c>
      <c r="C28" s="400">
        <f t="shared" si="0"/>
        <v>15633.650246305218</v>
      </c>
      <c r="D28" s="14">
        <f>+DEFS!M53</f>
        <v>342905</v>
      </c>
      <c r="E28" s="70">
        <f t="shared" si="1"/>
        <v>-327271.34975369478</v>
      </c>
      <c r="F28" s="396">
        <f>+DEFS!A40</f>
        <v>37144</v>
      </c>
      <c r="G28" s="205" t="s">
        <v>161</v>
      </c>
      <c r="H28" s="32" t="s">
        <v>103</v>
      </c>
      <c r="I28" s="32" t="s">
        <v>121</v>
      </c>
      <c r="J28" s="32"/>
      <c r="K28" s="32"/>
    </row>
    <row r="29" spans="1:20" ht="15.9" customHeight="1" outlineLevel="2" x14ac:dyDescent="0.25">
      <c r="A29" s="32" t="s">
        <v>113</v>
      </c>
      <c r="B29" s="373">
        <f>+CIG!D43</f>
        <v>392514.77</v>
      </c>
      <c r="C29" s="399">
        <f t="shared" si="0"/>
        <v>193357.02955665026</v>
      </c>
      <c r="D29" s="14">
        <f>+CIG!D49</f>
        <v>22431</v>
      </c>
      <c r="E29" s="70">
        <f t="shared" si="1"/>
        <v>170926.02955665026</v>
      </c>
      <c r="F29" s="396">
        <f>+CIG!A43</f>
        <v>37144</v>
      </c>
      <c r="G29" s="205" t="s">
        <v>162</v>
      </c>
      <c r="H29" s="32" t="s">
        <v>116</v>
      </c>
      <c r="I29" s="32" t="s">
        <v>204</v>
      </c>
      <c r="J29" s="32"/>
      <c r="K29" s="32"/>
    </row>
    <row r="30" spans="1:20" ht="18" customHeight="1" outlineLevel="1" x14ac:dyDescent="0.25">
      <c r="A30" s="32" t="s">
        <v>2</v>
      </c>
      <c r="B30" s="373">
        <f>+mewborne!$J$43</f>
        <v>348823.45</v>
      </c>
      <c r="C30" s="399">
        <f t="shared" si="0"/>
        <v>171834.21182266012</v>
      </c>
      <c r="D30" s="14">
        <f>+mewborne!D49</f>
        <v>138426</v>
      </c>
      <c r="E30" s="70">
        <f t="shared" si="1"/>
        <v>33408.211822660116</v>
      </c>
      <c r="F30" s="396">
        <f>+mewborne!A43</f>
        <v>37144</v>
      </c>
      <c r="G30" s="205" t="s">
        <v>162</v>
      </c>
      <c r="H30" s="32" t="s">
        <v>102</v>
      </c>
      <c r="I30" s="32"/>
      <c r="J30" s="32"/>
      <c r="K30" s="32"/>
    </row>
    <row r="31" spans="1:20" ht="18" customHeight="1" x14ac:dyDescent="0.25">
      <c r="A31" s="32" t="s">
        <v>154</v>
      </c>
      <c r="B31" s="373">
        <f>+PGETX!$H$39</f>
        <v>455150.02</v>
      </c>
      <c r="C31" s="399">
        <f t="shared" si="0"/>
        <v>224211.8325123153</v>
      </c>
      <c r="D31" s="14">
        <f>+PGETX!E48</f>
        <v>108817</v>
      </c>
      <c r="E31" s="70">
        <f t="shared" si="1"/>
        <v>115394.8325123153</v>
      </c>
      <c r="F31" s="396">
        <f>+PGETX!E39</f>
        <v>37145</v>
      </c>
      <c r="G31" s="205" t="s">
        <v>160</v>
      </c>
      <c r="H31" s="32" t="s">
        <v>105</v>
      </c>
      <c r="I31" s="32" t="s">
        <v>198</v>
      </c>
      <c r="J31" s="32"/>
      <c r="K31" s="32"/>
    </row>
    <row r="32" spans="1:20" ht="17.100000000000001" customHeight="1" x14ac:dyDescent="0.25">
      <c r="A32" s="32" t="s">
        <v>85</v>
      </c>
      <c r="B32" s="373">
        <f>+PNM!$D$23</f>
        <v>85615.260000000009</v>
      </c>
      <c r="C32" s="399">
        <f t="shared" si="0"/>
        <v>42175.004926108384</v>
      </c>
      <c r="D32" s="14">
        <f>+PNM!D30</f>
        <v>-14351</v>
      </c>
      <c r="E32" s="70">
        <f t="shared" si="1"/>
        <v>56526.004926108384</v>
      </c>
      <c r="F32" s="396">
        <f>+PNM!A23</f>
        <v>37145</v>
      </c>
      <c r="G32" s="205" t="s">
        <v>161</v>
      </c>
      <c r="H32" s="32" t="s">
        <v>118</v>
      </c>
      <c r="I32" s="32"/>
      <c r="J32" s="32"/>
      <c r="K32" s="32"/>
    </row>
    <row r="33" spans="1:12" ht="17.100000000000001" customHeight="1" x14ac:dyDescent="0.25">
      <c r="A33" s="32" t="s">
        <v>106</v>
      </c>
      <c r="B33" s="373">
        <f>+EOG!J41</f>
        <v>71037.61</v>
      </c>
      <c r="C33" s="399">
        <f t="shared" si="0"/>
        <v>34993.896551724145</v>
      </c>
      <c r="D33" s="14">
        <f>+EOG!D48</f>
        <v>-90690</v>
      </c>
      <c r="E33" s="70">
        <f t="shared" si="1"/>
        <v>125683.89655172414</v>
      </c>
      <c r="F33" s="395">
        <f>+EOG!A41</f>
        <v>37144</v>
      </c>
      <c r="G33" s="205" t="s">
        <v>162</v>
      </c>
      <c r="H33" s="32" t="s">
        <v>105</v>
      </c>
      <c r="I33" s="32"/>
      <c r="J33" s="32"/>
      <c r="K33" s="32"/>
    </row>
    <row r="34" spans="1:12" ht="17.100000000000001" customHeight="1" x14ac:dyDescent="0.25">
      <c r="A34" s="32" t="s">
        <v>136</v>
      </c>
      <c r="B34" s="373">
        <f>+SidR!D41</f>
        <v>52857.93</v>
      </c>
      <c r="C34" s="399">
        <f t="shared" si="0"/>
        <v>26038.38916256158</v>
      </c>
      <c r="D34" s="14">
        <f>+SidR!D48</f>
        <v>23563</v>
      </c>
      <c r="E34" s="70">
        <f t="shared" si="1"/>
        <v>2475.3891625615797</v>
      </c>
      <c r="F34" s="396">
        <f>+SidR!A41</f>
        <v>37145</v>
      </c>
      <c r="G34" s="205" t="s">
        <v>160</v>
      </c>
      <c r="H34" s="32" t="s">
        <v>105</v>
      </c>
      <c r="I34" s="32"/>
      <c r="J34" s="32"/>
      <c r="K34" s="32"/>
    </row>
    <row r="35" spans="1:12" ht="17.100000000000001" customHeight="1" x14ac:dyDescent="0.25">
      <c r="A35" s="32" t="s">
        <v>112</v>
      </c>
      <c r="B35" s="373">
        <f>+Continental!F43</f>
        <v>6269.89</v>
      </c>
      <c r="C35" s="400">
        <f t="shared" si="0"/>
        <v>3088.6157635467985</v>
      </c>
      <c r="D35" s="14">
        <f>+Continental!D50</f>
        <v>-13120</v>
      </c>
      <c r="E35" s="70">
        <f t="shared" si="1"/>
        <v>16208.615763546799</v>
      </c>
      <c r="F35" s="396">
        <f>+Continental!A43</f>
        <v>37145</v>
      </c>
      <c r="G35" s="205" t="s">
        <v>162</v>
      </c>
      <c r="H35" s="32" t="s">
        <v>118</v>
      </c>
      <c r="I35" s="32"/>
      <c r="J35" s="32"/>
      <c r="K35" s="32"/>
    </row>
    <row r="36" spans="1:12" ht="17.100000000000001" customHeight="1" x14ac:dyDescent="0.25">
      <c r="A36" s="32" t="s">
        <v>134</v>
      </c>
      <c r="B36" s="373">
        <f>+EPFS!D41</f>
        <v>-6383.6000000000022</v>
      </c>
      <c r="C36" s="400">
        <f>+B36/$J$5</f>
        <v>-3083.8647342995182</v>
      </c>
      <c r="D36" s="14">
        <f>+EPFS!D47</f>
        <v>12951</v>
      </c>
      <c r="E36" s="70">
        <f t="shared" si="1"/>
        <v>-16034.864734299517</v>
      </c>
      <c r="F36" s="395">
        <f>+EPFS!A41</f>
        <v>37145</v>
      </c>
      <c r="G36" s="205" t="s">
        <v>161</v>
      </c>
      <c r="H36" s="32" t="s">
        <v>105</v>
      </c>
      <c r="I36" s="32"/>
      <c r="J36" s="32"/>
      <c r="K36" s="32"/>
    </row>
    <row r="37" spans="1:12" ht="17.100000000000001" customHeight="1" x14ac:dyDescent="0.25">
      <c r="A37" s="206" t="s">
        <v>82</v>
      </c>
      <c r="B37" s="376">
        <f>+Agave!$D$24</f>
        <v>129647.68999999999</v>
      </c>
      <c r="C37" s="401">
        <f>+B37/$J$4</f>
        <v>63865.857142857145</v>
      </c>
      <c r="D37" s="377">
        <f>+Agave!D31</f>
        <v>29302</v>
      </c>
      <c r="E37" s="72">
        <f t="shared" si="1"/>
        <v>34563.857142857145</v>
      </c>
      <c r="F37" s="395">
        <f>+Agave!A24</f>
        <v>37145</v>
      </c>
      <c r="G37" s="205" t="s">
        <v>201</v>
      </c>
      <c r="H37" s="206" t="s">
        <v>105</v>
      </c>
      <c r="I37" s="32"/>
      <c r="J37" s="32"/>
      <c r="K37" s="32"/>
    </row>
    <row r="38" spans="1:12" ht="17.100000000000001" customHeight="1" x14ac:dyDescent="0.25">
      <c r="A38" s="153" t="s">
        <v>175</v>
      </c>
      <c r="B38" s="419">
        <f>SUBTOTAL(9,B24:B37)</f>
        <v>3433082.1599999997</v>
      </c>
      <c r="C38" s="426">
        <f>SUBTOTAL(9,C24:C37)</f>
        <v>1691234.2436400848</v>
      </c>
      <c r="D38" s="427">
        <f>SUBTOTAL(9,D24:D37)</f>
        <v>411790</v>
      </c>
      <c r="E38" s="428">
        <f>SUBTOTAL(9,E24:E37)</f>
        <v>1279444.2436400845</v>
      </c>
      <c r="F38" s="395"/>
      <c r="G38" s="380"/>
      <c r="H38" s="32"/>
      <c r="I38" s="206"/>
      <c r="J38" s="32"/>
      <c r="K38" s="32"/>
      <c r="L38" s="32"/>
    </row>
    <row r="39" spans="1:12" ht="12" customHeight="1" x14ac:dyDescent="0.25">
      <c r="A39" s="206"/>
      <c r="H39" s="32"/>
      <c r="I39" s="206"/>
      <c r="J39" s="32"/>
      <c r="K39" s="32"/>
      <c r="L39" s="32"/>
    </row>
    <row r="40" spans="1:12" ht="17.100000000000001" customHeight="1" x14ac:dyDescent="0.25">
      <c r="A40" s="153" t="s">
        <v>176</v>
      </c>
      <c r="B40" s="419">
        <f>SUBTOTAL(9,B12:B37)</f>
        <v>2338864.2999999993</v>
      </c>
      <c r="C40" s="426">
        <f>SUBTOTAL(9,C12:C37)</f>
        <v>1152356.0860046169</v>
      </c>
      <c r="D40" s="427">
        <f>SUBTOTAL(9,D12:D37)</f>
        <v>256856</v>
      </c>
      <c r="E40" s="428">
        <f>SUBTOTAL(9,E12:E37)</f>
        <v>895500.08600461693</v>
      </c>
      <c r="F40" s="395"/>
      <c r="G40" s="206"/>
      <c r="H40" s="32"/>
      <c r="I40" s="206"/>
      <c r="J40" s="32"/>
      <c r="K40" s="32"/>
      <c r="L40" s="32"/>
    </row>
    <row r="41" spans="1:12" ht="12.9" customHeight="1" x14ac:dyDescent="0.25">
      <c r="A41" s="206"/>
      <c r="B41" s="373"/>
      <c r="C41" s="399"/>
      <c r="D41" s="399"/>
      <c r="E41" s="399"/>
      <c r="F41" s="380"/>
      <c r="G41" s="32"/>
      <c r="I41" s="32"/>
      <c r="J41" s="32"/>
      <c r="K41" s="32"/>
      <c r="L41" s="32"/>
    </row>
    <row r="42" spans="1:12" ht="14.1" customHeight="1" x14ac:dyDescent="0.25"/>
    <row r="43" spans="1:12" ht="12.9" customHeight="1" x14ac:dyDescent="0.25"/>
    <row r="44" spans="1:12" ht="13.5" customHeight="1" x14ac:dyDescent="0.25"/>
    <row r="45" spans="1:12" ht="13.5" customHeight="1" outlineLevel="2" x14ac:dyDescent="0.25">
      <c r="A45" s="34" t="s">
        <v>145</v>
      </c>
      <c r="D45" s="7"/>
      <c r="I45" s="414" t="s">
        <v>81</v>
      </c>
      <c r="J45" s="417"/>
      <c r="K45" s="32"/>
    </row>
    <row r="46" spans="1:12" ht="13.5" customHeight="1" outlineLevel="2" x14ac:dyDescent="0.25">
      <c r="D46" s="7"/>
      <c r="I46" s="415" t="s">
        <v>30</v>
      </c>
      <c r="J46" s="418">
        <f>+J3</f>
        <v>1.94</v>
      </c>
      <c r="K46" s="435">
        <f ca="1">NOW()</f>
        <v>37147.830071759257</v>
      </c>
    </row>
    <row r="47" spans="1:12" ht="13.5" customHeight="1" outlineLevel="2" x14ac:dyDescent="0.25">
      <c r="A47" s="34" t="s">
        <v>152</v>
      </c>
      <c r="C47" s="34" t="s">
        <v>5</v>
      </c>
      <c r="D47" s="7"/>
      <c r="I47" s="416" t="s">
        <v>31</v>
      </c>
      <c r="J47" s="418">
        <f>+J4</f>
        <v>2.0299999999999998</v>
      </c>
      <c r="K47" s="32"/>
    </row>
    <row r="48" spans="1:12" ht="13.5" customHeight="1" outlineLevel="1" x14ac:dyDescent="0.25">
      <c r="D48" s="7"/>
      <c r="I48" s="415" t="s">
        <v>120</v>
      </c>
      <c r="J48" s="418">
        <f>+J5</f>
        <v>2.0699999999999998</v>
      </c>
      <c r="K48" s="32"/>
    </row>
    <row r="49" spans="1:19" ht="13.5" customHeight="1" outlineLevel="2" x14ac:dyDescent="0.25"/>
    <row r="50" spans="1:19" ht="13.5" customHeight="1" outlineLevel="2" x14ac:dyDescent="0.25">
      <c r="A50" s="433" t="s">
        <v>180</v>
      </c>
      <c r="B50" s="434"/>
    </row>
    <row r="51" spans="1:19" ht="13.5" customHeight="1" outlineLevel="2" x14ac:dyDescent="0.25">
      <c r="A51" s="32"/>
      <c r="C51" s="436" t="s">
        <v>166</v>
      </c>
      <c r="D51" s="12" t="s">
        <v>183</v>
      </c>
      <c r="E51" s="12" t="s">
        <v>185</v>
      </c>
      <c r="F51" s="2" t="s">
        <v>155</v>
      </c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</row>
    <row r="52" spans="1:19" ht="13.5" customHeight="1" outlineLevel="2" x14ac:dyDescent="0.25">
      <c r="A52" s="397" t="s">
        <v>92</v>
      </c>
      <c r="B52" s="432" t="s">
        <v>0</v>
      </c>
      <c r="C52" s="409" t="s">
        <v>182</v>
      </c>
      <c r="D52" s="39" t="s">
        <v>184</v>
      </c>
      <c r="E52" s="39" t="s">
        <v>186</v>
      </c>
      <c r="F52" s="39" t="s">
        <v>153</v>
      </c>
      <c r="G52" s="421" t="s">
        <v>159</v>
      </c>
      <c r="H52" s="398" t="s">
        <v>104</v>
      </c>
      <c r="I52" s="397" t="s">
        <v>101</v>
      </c>
      <c r="J52" s="32"/>
      <c r="K52" s="32"/>
      <c r="L52" s="32"/>
      <c r="N52" s="32"/>
      <c r="O52" s="32"/>
      <c r="P52" s="32"/>
      <c r="Q52" s="32"/>
      <c r="R52" s="32"/>
      <c r="S52" s="32"/>
    </row>
    <row r="53" spans="1:19" ht="13.5" customHeight="1" outlineLevel="2" x14ac:dyDescent="0.25">
      <c r="B53" s="296"/>
      <c r="C53" s="252"/>
    </row>
    <row r="54" spans="1:19" ht="13.5" customHeight="1" outlineLevel="1" x14ac:dyDescent="0.25">
      <c r="A54" s="397" t="s">
        <v>169</v>
      </c>
      <c r="B54" s="296"/>
      <c r="C54" s="252"/>
    </row>
    <row r="55" spans="1:19" ht="13.5" customHeight="1" outlineLevel="2" x14ac:dyDescent="0.25">
      <c r="A55" s="32" t="s">
        <v>97</v>
      </c>
      <c r="B55" s="399">
        <f>+Mojave!D40</f>
        <v>146187</v>
      </c>
      <c r="C55" s="373">
        <f>+B55*$J$4</f>
        <v>296759.61</v>
      </c>
      <c r="D55" s="47">
        <f>+Mojave!D47</f>
        <v>114808.69</v>
      </c>
      <c r="E55" s="47">
        <f>+C55-D55</f>
        <v>181950.91999999998</v>
      </c>
      <c r="F55" s="396">
        <f>+Mojave!A40</f>
        <v>37146</v>
      </c>
      <c r="H55" s="32" t="s">
        <v>103</v>
      </c>
      <c r="I55" s="32" t="s">
        <v>189</v>
      </c>
      <c r="J55" s="32"/>
      <c r="K55" s="32"/>
    </row>
    <row r="56" spans="1:19" ht="15" customHeight="1" outlineLevel="2" x14ac:dyDescent="0.25">
      <c r="A56" s="32" t="s">
        <v>33</v>
      </c>
      <c r="B56" s="400">
        <f>+SoCal!F40</f>
        <v>163658</v>
      </c>
      <c r="C56" s="373">
        <f>+B56*$J$4</f>
        <v>332225.74</v>
      </c>
      <c r="D56" s="47">
        <f>+SoCal!D47</f>
        <v>490545.75</v>
      </c>
      <c r="E56" s="47">
        <f>+C56-D56</f>
        <v>-158320.01</v>
      </c>
      <c r="F56" s="396">
        <f>+SoCal!A40</f>
        <v>37146</v>
      </c>
      <c r="H56" s="32" t="s">
        <v>105</v>
      </c>
      <c r="I56" s="32"/>
      <c r="J56" s="32"/>
      <c r="K56" s="32"/>
    </row>
    <row r="57" spans="1:19" ht="15" customHeight="1" outlineLevel="2" x14ac:dyDescent="0.25">
      <c r="A57" s="32" t="s">
        <v>202</v>
      </c>
      <c r="B57" s="399">
        <f>+'El Paso'!C39</f>
        <v>64244</v>
      </c>
      <c r="C57" s="373">
        <f>+B57*$J$4</f>
        <v>130415.31999999999</v>
      </c>
      <c r="D57" s="47">
        <f>+'El Paso'!C46</f>
        <v>-1583011.76</v>
      </c>
      <c r="E57" s="47">
        <f>+C57-D57</f>
        <v>1713427.08</v>
      </c>
      <c r="F57" s="396">
        <f>+'El Paso'!A39</f>
        <v>37145</v>
      </c>
      <c r="G57" s="458"/>
      <c r="H57" s="32" t="s">
        <v>103</v>
      </c>
      <c r="I57" s="32" t="s">
        <v>193</v>
      </c>
      <c r="J57" s="32"/>
      <c r="K57" s="32"/>
    </row>
    <row r="58" spans="1:19" ht="15" customHeight="1" outlineLevel="1" x14ac:dyDescent="0.25">
      <c r="A58" s="32" t="s">
        <v>117</v>
      </c>
      <c r="B58" s="401">
        <f>+'PG&amp;E'!D40</f>
        <v>54850</v>
      </c>
      <c r="C58" s="376">
        <f>+B58*$J$4</f>
        <v>111345.49999999999</v>
      </c>
      <c r="D58" s="376">
        <f>+'PG&amp;E'!D47</f>
        <v>-81489.760000000009</v>
      </c>
      <c r="E58" s="376">
        <f>+C58-D58</f>
        <v>192835.26</v>
      </c>
      <c r="F58" s="396">
        <f>+'PG&amp;E'!A40</f>
        <v>37146</v>
      </c>
      <c r="H58" s="32" t="s">
        <v>105</v>
      </c>
      <c r="I58" s="32"/>
      <c r="J58" s="32"/>
      <c r="K58" s="32"/>
    </row>
    <row r="59" spans="1:19" ht="15" customHeight="1" x14ac:dyDescent="0.25">
      <c r="A59" s="2" t="s">
        <v>170</v>
      </c>
      <c r="B59" s="426">
        <f>SUBTOTAL(9,B55:B58)</f>
        <v>428939</v>
      </c>
      <c r="C59" s="419">
        <f>SUBTOTAL(9,C55:C58)</f>
        <v>870746.16999999993</v>
      </c>
      <c r="D59" s="419">
        <f>SUBTOTAL(9,D55:D58)</f>
        <v>-1059147.08</v>
      </c>
      <c r="E59" s="419">
        <f>SUBTOTAL(9,E55:E58)</f>
        <v>1929893.25</v>
      </c>
      <c r="F59" s="396"/>
      <c r="G59" s="205"/>
      <c r="H59" s="32"/>
      <c r="I59" s="32"/>
      <c r="J59" s="32"/>
      <c r="K59" s="32"/>
    </row>
    <row r="60" spans="1:19" ht="12.9" customHeight="1" x14ac:dyDescent="0.25">
      <c r="B60" s="296"/>
      <c r="C60" s="252"/>
      <c r="G60" s="205"/>
    </row>
    <row r="61" spans="1:19" ht="15" customHeight="1" x14ac:dyDescent="0.25">
      <c r="A61" s="397" t="s">
        <v>59</v>
      </c>
      <c r="B61" s="296"/>
      <c r="C61" s="252"/>
      <c r="G61" s="205"/>
    </row>
    <row r="62" spans="1:19" x14ac:dyDescent="0.25">
      <c r="A62" s="206" t="s">
        <v>29</v>
      </c>
      <c r="B62" s="399">
        <f>+williams!J40</f>
        <v>228896</v>
      </c>
      <c r="C62" s="373">
        <f>+B62*$J$3</f>
        <v>444058.24</v>
      </c>
      <c r="D62" s="47">
        <f>+williams!D48</f>
        <v>1198039.6299999999</v>
      </c>
      <c r="E62" s="47">
        <f>+C62-D62</f>
        <v>-753981.3899999999</v>
      </c>
      <c r="F62" s="395">
        <f>+williams!A40</f>
        <v>37145</v>
      </c>
      <c r="G62" s="205" t="s">
        <v>161</v>
      </c>
      <c r="H62" s="206" t="s">
        <v>151</v>
      </c>
      <c r="I62" s="32" t="s">
        <v>192</v>
      </c>
      <c r="J62" s="32"/>
      <c r="K62" s="32"/>
    </row>
    <row r="63" spans="1:19" x14ac:dyDescent="0.25">
      <c r="A63" s="32" t="s">
        <v>24</v>
      </c>
      <c r="B63" s="399">
        <f>+'Red C'!F43</f>
        <v>141449</v>
      </c>
      <c r="C63" s="374">
        <f>+B63*J3</f>
        <v>274411.06</v>
      </c>
      <c r="D63" s="202">
        <f>+'Red C'!D52</f>
        <v>676087.67</v>
      </c>
      <c r="E63" s="47">
        <f>+C63-D63</f>
        <v>-401676.61000000004</v>
      </c>
      <c r="F63" s="395">
        <f>+'Red C'!B43</f>
        <v>37143</v>
      </c>
      <c r="G63" s="205" t="s">
        <v>161</v>
      </c>
      <c r="H63" s="32" t="s">
        <v>118</v>
      </c>
      <c r="I63" s="32" t="s">
        <v>190</v>
      </c>
      <c r="J63" s="32"/>
      <c r="K63" s="32"/>
    </row>
    <row r="64" spans="1:19" x14ac:dyDescent="0.25">
      <c r="A64" s="32" t="s">
        <v>6</v>
      </c>
      <c r="B64" s="399">
        <f>+Amoco!D40</f>
        <v>66053</v>
      </c>
      <c r="C64" s="373">
        <f>+B64*$J$3</f>
        <v>128142.81999999999</v>
      </c>
      <c r="D64" s="47">
        <f>+Amoco!D47</f>
        <v>454986.62</v>
      </c>
      <c r="E64" s="47">
        <f>+C64-D64</f>
        <v>-326843.8</v>
      </c>
      <c r="F64" s="396">
        <f>+Amoco!A40</f>
        <v>37146</v>
      </c>
      <c r="G64" s="205" t="s">
        <v>161</v>
      </c>
      <c r="H64" s="32" t="s">
        <v>118</v>
      </c>
      <c r="I64" s="32" t="s">
        <v>191</v>
      </c>
      <c r="J64" s="32"/>
      <c r="K64" s="32"/>
    </row>
    <row r="65" spans="1:12" x14ac:dyDescent="0.25">
      <c r="A65" s="32" t="s">
        <v>203</v>
      </c>
      <c r="B65" s="399">
        <f>+'El Paso'!E39</f>
        <v>-82146</v>
      </c>
      <c r="C65" s="373">
        <f>+B65*$J$3</f>
        <v>-159363.24</v>
      </c>
      <c r="D65" s="47">
        <f>+'El Paso'!F46</f>
        <v>-671866.52</v>
      </c>
      <c r="E65" s="47">
        <f>+C65-D65</f>
        <v>512503.28</v>
      </c>
      <c r="F65" s="396">
        <f>+'El Paso'!A39</f>
        <v>37145</v>
      </c>
      <c r="G65" s="458"/>
      <c r="H65" s="32" t="s">
        <v>103</v>
      </c>
      <c r="I65" s="32" t="s">
        <v>193</v>
      </c>
      <c r="J65" s="32"/>
      <c r="K65" s="32"/>
    </row>
    <row r="66" spans="1:12" x14ac:dyDescent="0.25">
      <c r="A66" s="32" t="s">
        <v>1</v>
      </c>
      <c r="B66" s="401">
        <f>+NW!$F$41</f>
        <v>67065</v>
      </c>
      <c r="C66" s="376">
        <f>+B66*$J$3</f>
        <v>130106.09999999999</v>
      </c>
      <c r="D66" s="376">
        <f>+NW!E49</f>
        <v>-324013.98</v>
      </c>
      <c r="E66" s="376">
        <f>+C66-D66</f>
        <v>454120.07999999996</v>
      </c>
      <c r="F66" s="395">
        <f>+NW!B41</f>
        <v>37146</v>
      </c>
      <c r="G66" s="205" t="s">
        <v>161</v>
      </c>
      <c r="H66" s="32" t="s">
        <v>118</v>
      </c>
      <c r="I66" s="32"/>
      <c r="J66" s="32"/>
      <c r="K66" s="32"/>
    </row>
    <row r="67" spans="1:12" x14ac:dyDescent="0.25">
      <c r="A67" s="32" t="s">
        <v>171</v>
      </c>
      <c r="B67" s="426">
        <f>SUBTOTAL(9,B62:B66)</f>
        <v>421317</v>
      </c>
      <c r="C67" s="419">
        <f>SUBTOTAL(9,C62:C66)</f>
        <v>817354.98</v>
      </c>
      <c r="D67" s="419">
        <f>SUBTOTAL(9,D62:D66)</f>
        <v>1333233.42</v>
      </c>
      <c r="E67" s="419">
        <f>SUBTOTAL(9,E62:E66)</f>
        <v>-515878.44000000006</v>
      </c>
      <c r="F67" s="395"/>
      <c r="G67" s="205"/>
      <c r="H67" s="32"/>
      <c r="I67" s="32"/>
      <c r="J67" s="32"/>
      <c r="K67" s="32"/>
    </row>
    <row r="68" spans="1:12" x14ac:dyDescent="0.25">
      <c r="B68" s="296"/>
      <c r="C68" s="252"/>
      <c r="G68" s="205"/>
    </row>
    <row r="69" spans="1:12" x14ac:dyDescent="0.25">
      <c r="A69" s="397" t="s">
        <v>173</v>
      </c>
      <c r="B69" s="296"/>
      <c r="C69" s="252"/>
      <c r="G69" s="205"/>
    </row>
    <row r="70" spans="1:12" x14ac:dyDescent="0.25">
      <c r="A70" s="32" t="s">
        <v>91</v>
      </c>
      <c r="B70" s="399">
        <f>+NGPL!F38</f>
        <v>154012</v>
      </c>
      <c r="C70" s="373">
        <f>+B70*$J$4</f>
        <v>312644.36</v>
      </c>
      <c r="D70" s="47">
        <f>+NGPL!D45</f>
        <v>385337.96</v>
      </c>
      <c r="E70" s="47">
        <f>+C70-D70</f>
        <v>-72693.600000000035</v>
      </c>
      <c r="F70" s="396">
        <f>+NGPL!A38</f>
        <v>37146</v>
      </c>
      <c r="G70" s="205"/>
      <c r="H70" s="32" t="s">
        <v>118</v>
      </c>
      <c r="I70" s="32"/>
      <c r="J70" s="32"/>
      <c r="K70" s="32"/>
    </row>
    <row r="71" spans="1:12" x14ac:dyDescent="0.25">
      <c r="A71" s="32" t="s">
        <v>148</v>
      </c>
      <c r="B71" s="399">
        <f>+PEPL!D41</f>
        <v>65531</v>
      </c>
      <c r="C71" s="374">
        <f>+B71*$J$4</f>
        <v>133027.93</v>
      </c>
      <c r="D71" s="47">
        <f>+PEPL!D47</f>
        <v>299079.09999999998</v>
      </c>
      <c r="E71" s="47">
        <f>+C71-D71</f>
        <v>-166051.16999999998</v>
      </c>
      <c r="F71" s="396">
        <f>+PEPL!A41</f>
        <v>37145</v>
      </c>
      <c r="H71" s="32" t="s">
        <v>103</v>
      </c>
      <c r="I71" s="32" t="s">
        <v>147</v>
      </c>
      <c r="J71" s="32"/>
      <c r="K71" s="32"/>
    </row>
    <row r="72" spans="1:12" x14ac:dyDescent="0.25">
      <c r="A72" s="32" t="s">
        <v>7</v>
      </c>
      <c r="B72" s="400">
        <f>+Oasis!D40</f>
        <v>49917</v>
      </c>
      <c r="C72" s="373">
        <f>+B72*$J$4</f>
        <v>101331.51</v>
      </c>
      <c r="D72" s="47">
        <f>+Oasis!D47</f>
        <v>-247921.44999999998</v>
      </c>
      <c r="E72" s="47">
        <f>+C72-D72</f>
        <v>349252.95999999996</v>
      </c>
      <c r="F72" s="396">
        <f>+Oasis!B40</f>
        <v>37145</v>
      </c>
      <c r="H72" s="32" t="s">
        <v>105</v>
      </c>
      <c r="I72" s="32"/>
      <c r="J72" s="32"/>
      <c r="K72" s="32"/>
    </row>
    <row r="73" spans="1:12" x14ac:dyDescent="0.25">
      <c r="A73" s="32" t="s">
        <v>32</v>
      </c>
      <c r="B73" s="403">
        <f>+Lonestar!F42</f>
        <v>78753</v>
      </c>
      <c r="C73" s="376">
        <f>+B73*$J$4</f>
        <v>159868.59</v>
      </c>
      <c r="D73" s="376">
        <f>+Lonestar!D49</f>
        <v>83263.37</v>
      </c>
      <c r="E73" s="376">
        <f>+C73-D73</f>
        <v>76605.22</v>
      </c>
      <c r="F73" s="395">
        <f>+Lonestar!B42</f>
        <v>37145</v>
      </c>
      <c r="H73" s="32" t="s">
        <v>105</v>
      </c>
      <c r="I73" s="32"/>
      <c r="J73" s="32"/>
      <c r="K73" s="32"/>
    </row>
    <row r="74" spans="1:12" x14ac:dyDescent="0.25">
      <c r="A74" s="2" t="s">
        <v>174</v>
      </c>
      <c r="B74" s="420">
        <f>SUBTOTAL(9,B70:B73)</f>
        <v>348213</v>
      </c>
      <c r="C74" s="419">
        <f>SUBTOTAL(9,C70:C73)</f>
        <v>706872.3899999999</v>
      </c>
      <c r="D74" s="419">
        <f>SUBTOTAL(9,D70:D73)</f>
        <v>519758.9800000001</v>
      </c>
      <c r="E74" s="419">
        <f>SUBTOTAL(9,E70:E73)</f>
        <v>187113.40999999995</v>
      </c>
      <c r="F74" s="395"/>
      <c r="H74" s="32"/>
      <c r="I74" s="32"/>
      <c r="J74" s="32"/>
      <c r="K74" s="32"/>
    </row>
    <row r="75" spans="1:12" x14ac:dyDescent="0.25">
      <c r="B75" s="296"/>
      <c r="C75" s="252"/>
    </row>
    <row r="76" spans="1:12" x14ac:dyDescent="0.25">
      <c r="A76" s="2" t="s">
        <v>181</v>
      </c>
      <c r="B76" s="420">
        <f>SUBTOTAL(9,B55:B73)</f>
        <v>1198469</v>
      </c>
      <c r="C76" s="419">
        <f>SUBTOTAL(9,C55:C73)</f>
        <v>2394973.54</v>
      </c>
      <c r="D76" s="419">
        <f>SUBTOTAL(9,D55:D73)</f>
        <v>793845.31999999983</v>
      </c>
      <c r="E76" s="419">
        <f>SUBTOTAL(9,E55:E73)</f>
        <v>1601128.22</v>
      </c>
      <c r="F76" s="395"/>
      <c r="H76" s="32"/>
      <c r="I76" s="32"/>
      <c r="J76" s="32"/>
      <c r="K76" s="32"/>
    </row>
    <row r="77" spans="1:12" x14ac:dyDescent="0.25">
      <c r="A77" s="32"/>
      <c r="B77" s="373"/>
      <c r="C77" s="400"/>
      <c r="D77" s="373"/>
      <c r="E77" s="373"/>
      <c r="F77" s="395"/>
      <c r="H77" s="32"/>
      <c r="I77" s="32"/>
      <c r="J77" s="32"/>
      <c r="K77" s="32"/>
    </row>
    <row r="78" spans="1:12" x14ac:dyDescent="0.25">
      <c r="A78" s="32"/>
      <c r="B78" s="376"/>
      <c r="C78" s="399"/>
      <c r="D78" s="304"/>
      <c r="E78" s="304"/>
      <c r="F78" s="395"/>
      <c r="G78" s="32"/>
      <c r="I78" s="32"/>
      <c r="J78" s="32"/>
      <c r="K78" s="32"/>
      <c r="L78" s="32"/>
    </row>
    <row r="79" spans="1:12" ht="13.8" thickBot="1" x14ac:dyDescent="0.3">
      <c r="A79" s="2" t="s">
        <v>187</v>
      </c>
      <c r="B79" s="429">
        <f>+C76+B40</f>
        <v>4733837.84</v>
      </c>
      <c r="C79" s="208"/>
      <c r="D79" s="373"/>
      <c r="E79" s="373"/>
      <c r="F79" s="380"/>
      <c r="H79" s="32"/>
      <c r="I79" s="32"/>
      <c r="J79" s="32"/>
      <c r="K79" s="32"/>
    </row>
    <row r="80" spans="1:12" ht="13.8" thickTop="1" x14ac:dyDescent="0.25">
      <c r="A80" s="2" t="s">
        <v>188</v>
      </c>
      <c r="B80" s="14">
        <f>+B76+C40</f>
        <v>2350825.0860046167</v>
      </c>
      <c r="C80" s="402"/>
      <c r="D80" s="460"/>
      <c r="E80" s="304"/>
      <c r="F80" s="380"/>
      <c r="G80" s="32"/>
      <c r="H80" s="32"/>
      <c r="I80" s="32"/>
      <c r="J80" s="32"/>
    </row>
    <row r="81" spans="1:10" x14ac:dyDescent="0.25">
      <c r="A81" s="32"/>
      <c r="B81" s="47"/>
      <c r="C81" s="404"/>
      <c r="D81" s="304"/>
      <c r="E81" s="304"/>
      <c r="F81" s="206"/>
      <c r="G81" s="32"/>
      <c r="H81" s="32"/>
      <c r="I81" s="32"/>
      <c r="J81" s="32"/>
    </row>
    <row r="82" spans="1:10" x14ac:dyDescent="0.25">
      <c r="A82" s="32"/>
      <c r="B82" s="47"/>
      <c r="C82" s="69"/>
      <c r="E82" s="32"/>
      <c r="F82" s="32"/>
      <c r="G82" s="32"/>
      <c r="H82" s="32"/>
      <c r="I82" s="32"/>
    </row>
    <row r="83" spans="1:10" x14ac:dyDescent="0.25">
      <c r="A83" s="32"/>
      <c r="B83" s="47"/>
      <c r="C83" s="69"/>
      <c r="D83" s="32"/>
      <c r="E83" s="32"/>
      <c r="F83" s="32"/>
      <c r="G83" s="32"/>
      <c r="H83" s="32"/>
    </row>
    <row r="84" spans="1:10" x14ac:dyDescent="0.25">
      <c r="A84" s="32"/>
      <c r="B84" s="202"/>
      <c r="C84" s="305"/>
      <c r="D84" s="16"/>
      <c r="E84" s="32"/>
      <c r="F84" s="32"/>
      <c r="G84" s="32"/>
      <c r="H84" s="32"/>
    </row>
    <row r="90" spans="1:10" x14ac:dyDescent="0.25">
      <c r="A90" s="32"/>
      <c r="B90" s="202"/>
      <c r="C90" s="69"/>
      <c r="D90" s="70"/>
      <c r="E90" s="32"/>
      <c r="F90" s="32"/>
      <c r="G90" s="32"/>
      <c r="H90" s="32"/>
    </row>
    <row r="91" spans="1:10" x14ac:dyDescent="0.25">
      <c r="A91" s="32"/>
      <c r="B91" s="47"/>
      <c r="C91" s="14"/>
      <c r="D91" s="32"/>
      <c r="E91" s="32"/>
      <c r="F91" s="32"/>
      <c r="G91" s="32"/>
      <c r="H91" s="32"/>
    </row>
    <row r="92" spans="1:10" x14ac:dyDescent="0.25">
      <c r="A92" s="32"/>
      <c r="B92" s="47"/>
      <c r="C92" s="14"/>
      <c r="D92" s="32"/>
      <c r="E92" s="32"/>
      <c r="F92" s="32"/>
      <c r="G92" s="32"/>
      <c r="H92" s="32"/>
    </row>
    <row r="93" spans="1:10" x14ac:dyDescent="0.25">
      <c r="A93" s="32"/>
      <c r="B93" s="202"/>
      <c r="C93" s="14"/>
      <c r="D93" s="70"/>
      <c r="E93" s="32"/>
      <c r="F93" s="32"/>
      <c r="G93" s="32"/>
      <c r="H93" s="32"/>
    </row>
    <row r="94" spans="1:10" x14ac:dyDescent="0.25">
      <c r="A94" s="32"/>
      <c r="B94" s="202"/>
      <c r="C94" s="69"/>
      <c r="D94" s="70"/>
      <c r="E94" s="32"/>
      <c r="F94" s="32"/>
      <c r="G94" s="32"/>
      <c r="H94" s="32"/>
    </row>
    <row r="95" spans="1:10" x14ac:dyDescent="0.25">
      <c r="A95" s="32"/>
      <c r="B95" s="202"/>
      <c r="C95" s="69"/>
      <c r="D95" s="32"/>
      <c r="E95" s="32"/>
      <c r="F95" s="32"/>
      <c r="G95" s="32"/>
      <c r="H95" s="32"/>
    </row>
    <row r="96" spans="1:10" x14ac:dyDescent="0.25">
      <c r="A96" s="32"/>
      <c r="B96" s="202"/>
      <c r="C96" s="393"/>
      <c r="D96" s="32"/>
      <c r="E96" s="32"/>
      <c r="F96" s="32"/>
      <c r="G96" s="32"/>
      <c r="H96" s="32"/>
    </row>
    <row r="97" spans="1:8" x14ac:dyDescent="0.25">
      <c r="A97" s="32"/>
      <c r="B97" s="47"/>
      <c r="C97" s="69"/>
      <c r="D97" s="32"/>
      <c r="E97" s="32"/>
      <c r="F97" s="32"/>
      <c r="G97" s="32"/>
      <c r="H97" s="32"/>
    </row>
    <row r="98" spans="1:8" x14ac:dyDescent="0.25">
      <c r="A98" s="32"/>
      <c r="B98" s="47"/>
      <c r="D98" s="32"/>
      <c r="E98" s="32"/>
      <c r="F98" s="32"/>
      <c r="G98" s="32"/>
      <c r="H98" s="32"/>
    </row>
    <row r="99" spans="1:8" x14ac:dyDescent="0.25">
      <c r="A99" s="32"/>
      <c r="B99" s="47"/>
      <c r="D99" s="32"/>
      <c r="E99" s="32"/>
      <c r="F99" s="32"/>
      <c r="G99" s="32"/>
      <c r="H99" s="32"/>
    </row>
    <row r="100" spans="1:8" x14ac:dyDescent="0.25">
      <c r="A100" s="32"/>
      <c r="B100" s="47"/>
      <c r="D100" s="32"/>
      <c r="E100" s="32"/>
      <c r="F100" s="32"/>
      <c r="G100" s="32"/>
      <c r="H100" s="32"/>
    </row>
    <row r="101" spans="1:8" x14ac:dyDescent="0.25">
      <c r="A101" s="32"/>
      <c r="B101" s="47"/>
      <c r="D101" s="32"/>
      <c r="E101" s="32"/>
      <c r="F101" s="32"/>
      <c r="G101" s="32"/>
      <c r="H101" s="32"/>
    </row>
    <row r="102" spans="1:8" x14ac:dyDescent="0.25">
      <c r="A102" s="32"/>
      <c r="B102" s="47"/>
      <c r="D102" s="32"/>
      <c r="E102" s="32"/>
      <c r="F102" s="32"/>
      <c r="G102" s="32"/>
      <c r="H102" s="32"/>
    </row>
    <row r="103" spans="1:8" x14ac:dyDescent="0.25">
      <c r="A103" s="32"/>
      <c r="B103" s="47"/>
      <c r="D103" s="32"/>
      <c r="E103" s="32"/>
      <c r="F103" s="32"/>
      <c r="G103" s="32"/>
      <c r="H103" s="32"/>
    </row>
    <row r="104" spans="1:8" x14ac:dyDescent="0.25">
      <c r="A104" s="32"/>
      <c r="B104" s="47"/>
      <c r="D104" s="32"/>
      <c r="E104" s="32"/>
      <c r="F104" s="32"/>
      <c r="G104" s="32"/>
      <c r="H104" s="32"/>
    </row>
    <row r="105" spans="1:8" x14ac:dyDescent="0.25">
      <c r="A105" s="32"/>
      <c r="B105" s="47"/>
      <c r="D105" s="32"/>
      <c r="E105" s="32"/>
      <c r="F105" s="32"/>
      <c r="G105" s="32"/>
      <c r="H105" s="32"/>
    </row>
    <row r="106" spans="1:8" x14ac:dyDescent="0.25">
      <c r="A106" s="32"/>
      <c r="B106" s="47"/>
      <c r="D106" s="32"/>
      <c r="E106" s="32"/>
      <c r="F106" s="32"/>
      <c r="G106" s="32"/>
      <c r="H106" s="32"/>
    </row>
    <row r="107" spans="1:8" x14ac:dyDescent="0.25">
      <c r="A107" s="32"/>
      <c r="B107" s="47"/>
      <c r="D107" s="32"/>
      <c r="E107" s="32"/>
      <c r="F107" s="32"/>
      <c r="G107" s="32"/>
      <c r="H107" s="32"/>
    </row>
    <row r="108" spans="1:8" x14ac:dyDescent="0.25">
      <c r="A108" s="32"/>
      <c r="B108" s="47"/>
      <c r="D108" s="32"/>
      <c r="E108" s="32"/>
      <c r="F108" s="32"/>
      <c r="G108" s="32"/>
      <c r="H108" s="32"/>
    </row>
    <row r="109" spans="1:8" x14ac:dyDescent="0.25">
      <c r="A109" s="32"/>
      <c r="B109" s="47"/>
      <c r="D109" s="32"/>
      <c r="E109" s="32"/>
      <c r="F109" s="32"/>
      <c r="G109" s="32"/>
      <c r="H109" s="32"/>
    </row>
    <row r="110" spans="1:8" x14ac:dyDescent="0.25">
      <c r="A110" s="32"/>
      <c r="B110" s="47"/>
      <c r="D110" s="32"/>
      <c r="E110" s="32"/>
      <c r="F110" s="32"/>
      <c r="G110" s="32"/>
      <c r="H110" s="32"/>
    </row>
    <row r="111" spans="1:8" x14ac:dyDescent="0.25">
      <c r="A111" s="32"/>
      <c r="B111" s="47"/>
      <c r="D111" s="32"/>
      <c r="E111" s="32"/>
      <c r="F111" s="32"/>
      <c r="G111" s="32"/>
      <c r="H111" s="32"/>
    </row>
    <row r="112" spans="1:8" x14ac:dyDescent="0.25">
      <c r="A112" s="32"/>
      <c r="B112" s="47"/>
      <c r="D112" s="32"/>
      <c r="E112" s="32"/>
      <c r="F112" s="32"/>
      <c r="G112" s="32"/>
      <c r="H112" s="32"/>
    </row>
    <row r="113" spans="1:8" x14ac:dyDescent="0.25">
      <c r="A113" s="32"/>
      <c r="B113" s="47"/>
      <c r="D113" s="32"/>
      <c r="E113" s="32"/>
      <c r="F113" s="32"/>
      <c r="G113" s="32"/>
      <c r="H113" s="32"/>
    </row>
    <row r="114" spans="1:8" x14ac:dyDescent="0.25">
      <c r="A114" s="32"/>
      <c r="B114" s="47"/>
      <c r="D114" s="32"/>
      <c r="E114" s="32"/>
      <c r="F114" s="32"/>
      <c r="G114" s="32"/>
      <c r="H114" s="32"/>
    </row>
    <row r="115" spans="1:8" x14ac:dyDescent="0.25">
      <c r="A115" s="32"/>
      <c r="B115" s="47"/>
      <c r="D115" s="32"/>
      <c r="E115" s="32"/>
      <c r="F115" s="32"/>
      <c r="G115" s="32"/>
      <c r="H115" s="32"/>
    </row>
    <row r="116" spans="1:8" x14ac:dyDescent="0.25">
      <c r="A116" s="32">
        <v>300</v>
      </c>
      <c r="B116" s="47"/>
      <c r="D116" s="32"/>
      <c r="E116" s="32"/>
      <c r="F116" s="32"/>
      <c r="G116" s="32"/>
      <c r="H116" s="32"/>
    </row>
    <row r="117" spans="1:8" x14ac:dyDescent="0.25">
      <c r="A117" s="32">
        <v>35</v>
      </c>
      <c r="B117" s="47"/>
      <c r="D117" s="32"/>
      <c r="E117" s="32"/>
      <c r="F117" s="32"/>
      <c r="G117" s="32"/>
      <c r="H117" s="32"/>
    </row>
    <row r="118" spans="1:8" x14ac:dyDescent="0.25">
      <c r="A118" s="32">
        <f>+A117*A116</f>
        <v>10500</v>
      </c>
      <c r="B118" s="47"/>
      <c r="D118" s="32"/>
      <c r="E118" s="32"/>
      <c r="F118" s="32"/>
      <c r="G118" s="32"/>
      <c r="H118" s="32"/>
    </row>
    <row r="119" spans="1:8" x14ac:dyDescent="0.25">
      <c r="A119" s="32"/>
      <c r="B119" s="47"/>
      <c r="D119" s="32"/>
      <c r="E119" s="32"/>
      <c r="F119" s="32"/>
      <c r="G119" s="32"/>
      <c r="H119" s="32"/>
    </row>
    <row r="120" spans="1:8" x14ac:dyDescent="0.25">
      <c r="A120" s="32"/>
      <c r="B120" s="47"/>
      <c r="D120" s="32"/>
      <c r="E120" s="32"/>
      <c r="F120" s="32"/>
      <c r="G120" s="32"/>
      <c r="H120" s="32"/>
    </row>
    <row r="121" spans="1:8" x14ac:dyDescent="0.25">
      <c r="A121" s="32"/>
      <c r="B121" s="47"/>
      <c r="D121" s="32"/>
      <c r="E121" s="32"/>
      <c r="F121" s="32"/>
      <c r="G121" s="32"/>
      <c r="H121" s="32"/>
    </row>
    <row r="122" spans="1:8" x14ac:dyDescent="0.25">
      <c r="A122" s="32"/>
      <c r="B122" s="47"/>
      <c r="C122" s="69"/>
      <c r="D122" s="32"/>
      <c r="E122" s="32"/>
      <c r="F122" s="32"/>
      <c r="G122" s="32"/>
      <c r="H122" s="32"/>
    </row>
    <row r="123" spans="1:8" x14ac:dyDescent="0.25">
      <c r="A123" s="32"/>
      <c r="B123" s="47"/>
      <c r="C123" s="69"/>
      <c r="D123" s="32"/>
      <c r="E123" s="32"/>
      <c r="F123" s="32"/>
      <c r="G123" s="32"/>
      <c r="H123" s="32"/>
    </row>
    <row r="124" spans="1:8" x14ac:dyDescent="0.25">
      <c r="A124" s="32"/>
      <c r="B124" s="47"/>
      <c r="C124" s="69"/>
      <c r="D124" s="32"/>
      <c r="E124" s="32"/>
      <c r="F124" s="32"/>
      <c r="G124" s="32"/>
      <c r="H124" s="32"/>
    </row>
    <row r="125" spans="1:8" x14ac:dyDescent="0.25">
      <c r="A125" s="32"/>
      <c r="B125" s="47"/>
      <c r="C125" s="69"/>
      <c r="D125" s="32"/>
      <c r="E125" s="32"/>
      <c r="F125" s="32"/>
      <c r="G125" s="32"/>
      <c r="H125" s="32"/>
    </row>
    <row r="126" spans="1:8" x14ac:dyDescent="0.25">
      <c r="A126" s="32"/>
      <c r="B126" s="47"/>
      <c r="C126" s="69"/>
      <c r="D126" s="32"/>
      <c r="E126" s="32"/>
      <c r="F126" s="32"/>
      <c r="G126" s="32"/>
      <c r="H126" s="32"/>
    </row>
    <row r="127" spans="1:8" x14ac:dyDescent="0.25">
      <c r="A127" s="32"/>
      <c r="B127" s="47"/>
      <c r="C127" s="69"/>
      <c r="D127" s="32"/>
      <c r="E127" s="32"/>
      <c r="F127" s="32"/>
      <c r="G127" s="32"/>
      <c r="H127" s="32"/>
    </row>
    <row r="128" spans="1:8" x14ac:dyDescent="0.25">
      <c r="A128" s="32"/>
      <c r="B128" s="47"/>
      <c r="C128" s="69"/>
      <c r="D128" s="32"/>
      <c r="E128" s="32"/>
      <c r="F128" s="32"/>
      <c r="G128" s="32"/>
      <c r="H128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workbookViewId="2">
      <selection activeCell="B10" sqref="B10"/>
    </sheetView>
    <sheetView topLeftCell="A37" workbookViewId="3">
      <selection activeCell="D50" sqref="D50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50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51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51</v>
      </c>
      <c r="AF5" s="12"/>
      <c r="AG5" s="12"/>
      <c r="AH5" s="58"/>
      <c r="AI5" s="58" t="s">
        <v>51</v>
      </c>
      <c r="AJ5" s="12"/>
      <c r="AK5" s="12"/>
      <c r="AL5" s="58"/>
      <c r="AM5" s="58" t="s">
        <v>51</v>
      </c>
      <c r="AN5" s="12"/>
      <c r="AO5" s="12"/>
      <c r="AP5" s="58"/>
      <c r="AQ5" s="58" t="s">
        <v>51</v>
      </c>
      <c r="AR5" s="12"/>
      <c r="AS5" s="12"/>
      <c r="AT5" s="58"/>
      <c r="AU5" s="58" t="s">
        <v>51</v>
      </c>
      <c r="AV5" s="12"/>
    </row>
    <row r="6" spans="1:48" x14ac:dyDescent="0.25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80"/>
      <c r="J6" s="279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5">
      <c r="B7" s="11"/>
      <c r="C7" s="11"/>
      <c r="D7" s="11"/>
      <c r="E7" s="11"/>
      <c r="F7" s="11"/>
      <c r="G7" s="143"/>
      <c r="H7" s="139"/>
      <c r="I7" s="274"/>
      <c r="J7" s="278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156920</v>
      </c>
      <c r="C8" s="11">
        <v>156264</v>
      </c>
      <c r="D8" s="11">
        <v>12722</v>
      </c>
      <c r="E8" s="11">
        <v>12532</v>
      </c>
      <c r="F8" s="11">
        <f>+C8-B8+E8-D8</f>
        <v>-846</v>
      </c>
      <c r="G8" s="143"/>
      <c r="H8" s="139"/>
      <c r="I8" s="274"/>
      <c r="J8" s="278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157223</v>
      </c>
      <c r="C9" s="11">
        <v>156534</v>
      </c>
      <c r="D9" s="11">
        <v>12253</v>
      </c>
      <c r="E9" s="11">
        <v>12532</v>
      </c>
      <c r="F9" s="11">
        <f t="shared" ref="F9:F39" si="5">+C9-B9+E9-D9</f>
        <v>-410</v>
      </c>
      <c r="G9" s="143"/>
      <c r="H9" s="139"/>
      <c r="I9" s="274"/>
      <c r="J9" s="278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156228</v>
      </c>
      <c r="C10" s="11">
        <v>156410</v>
      </c>
      <c r="D10" s="11">
        <v>12192</v>
      </c>
      <c r="E10" s="11">
        <v>12532</v>
      </c>
      <c r="F10" s="11">
        <f t="shared" si="5"/>
        <v>522</v>
      </c>
      <c r="G10" s="143"/>
      <c r="H10" s="139"/>
      <c r="I10" s="274"/>
      <c r="J10" s="278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155862</v>
      </c>
      <c r="C11" s="11">
        <v>155803</v>
      </c>
      <c r="D11" s="11">
        <v>11658</v>
      </c>
      <c r="E11" s="11">
        <v>12532</v>
      </c>
      <c r="F11" s="11">
        <f t="shared" si="5"/>
        <v>815</v>
      </c>
      <c r="G11" s="143"/>
      <c r="H11" s="139"/>
      <c r="I11" s="281"/>
      <c r="J11" s="278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>
        <v>154865</v>
      </c>
      <c r="C12" s="11">
        <v>157530</v>
      </c>
      <c r="D12" s="11">
        <v>12566</v>
      </c>
      <c r="E12" s="11">
        <v>12532</v>
      </c>
      <c r="F12" s="11">
        <f t="shared" si="5"/>
        <v>2631</v>
      </c>
      <c r="G12" s="143"/>
      <c r="H12" s="139"/>
      <c r="I12" s="278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>
        <v>148827</v>
      </c>
      <c r="C13" s="11">
        <v>147740</v>
      </c>
      <c r="D13" s="11">
        <v>12616</v>
      </c>
      <c r="E13" s="11">
        <v>12532</v>
      </c>
      <c r="F13" s="11">
        <f t="shared" si="5"/>
        <v>-1171</v>
      </c>
      <c r="G13" s="143"/>
      <c r="H13" s="139"/>
      <c r="I13" s="278"/>
      <c r="J13" s="278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>
        <v>145224</v>
      </c>
      <c r="C14" s="11">
        <v>145066</v>
      </c>
      <c r="D14" s="11">
        <v>12571</v>
      </c>
      <c r="E14" s="11">
        <v>12532</v>
      </c>
      <c r="F14" s="11">
        <f t="shared" si="5"/>
        <v>-197</v>
      </c>
      <c r="G14" s="143"/>
      <c r="H14" s="139"/>
      <c r="I14" s="278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>
        <v>146908</v>
      </c>
      <c r="C15" s="11">
        <v>145190</v>
      </c>
      <c r="D15" s="11">
        <v>12364</v>
      </c>
      <c r="E15" s="11">
        <v>12532</v>
      </c>
      <c r="F15" s="11">
        <f t="shared" si="5"/>
        <v>-1550</v>
      </c>
      <c r="G15" s="143"/>
      <c r="H15" s="139"/>
      <c r="I15" s="278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>
        <v>146501</v>
      </c>
      <c r="C16" s="11">
        <v>145042</v>
      </c>
      <c r="D16" s="11">
        <v>12496</v>
      </c>
      <c r="E16" s="11">
        <v>12532</v>
      </c>
      <c r="F16" s="11">
        <f t="shared" si="5"/>
        <v>-1423</v>
      </c>
      <c r="G16" s="143"/>
      <c r="H16" s="139"/>
      <c r="I16" s="278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/>
      <c r="C17" s="11"/>
      <c r="D17" s="11"/>
      <c r="E17" s="11"/>
      <c r="F17" s="11">
        <f t="shared" si="5"/>
        <v>0</v>
      </c>
      <c r="G17" s="143"/>
      <c r="H17" s="139"/>
      <c r="I17" s="278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1"/>
      <c r="C21" s="11"/>
      <c r="D21" s="11"/>
      <c r="E21" s="11"/>
      <c r="F21" s="11">
        <f t="shared" si="5"/>
        <v>0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1"/>
      <c r="C22" s="11"/>
      <c r="D22" s="11"/>
      <c r="E22" s="11"/>
      <c r="F22" s="11">
        <f t="shared" si="5"/>
        <v>0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1"/>
      <c r="C23" s="11"/>
      <c r="D23" s="11"/>
      <c r="E23" s="11"/>
      <c r="F23" s="11">
        <f t="shared" si="5"/>
        <v>0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1"/>
      <c r="C24" s="11"/>
      <c r="D24" s="11"/>
      <c r="E24" s="11"/>
      <c r="F24" s="11">
        <f t="shared" si="5"/>
        <v>0</v>
      </c>
      <c r="G24" s="276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52</v>
      </c>
      <c r="B25" s="11"/>
      <c r="C25" s="11"/>
      <c r="D25" s="11"/>
      <c r="E25" s="11"/>
      <c r="F25" s="11">
        <f t="shared" si="5"/>
        <v>0</v>
      </c>
      <c r="G25" s="320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52</v>
      </c>
      <c r="AH25" s="11">
        <v>90438</v>
      </c>
      <c r="AI25" s="11">
        <v>89668</v>
      </c>
      <c r="AJ25" s="11">
        <f t="shared" si="1"/>
        <v>-770</v>
      </c>
      <c r="AK25" s="147" t="s">
        <v>52</v>
      </c>
      <c r="AL25" s="11">
        <v>119514</v>
      </c>
      <c r="AM25" s="11">
        <v>120375</v>
      </c>
      <c r="AN25" s="11">
        <f t="shared" si="2"/>
        <v>861</v>
      </c>
      <c r="AO25" s="147" t="s">
        <v>52</v>
      </c>
      <c r="AP25" s="11">
        <v>175778</v>
      </c>
      <c r="AQ25" s="11">
        <v>172040</v>
      </c>
      <c r="AR25" s="11">
        <f t="shared" si="3"/>
        <v>-3738</v>
      </c>
      <c r="AS25" s="147" t="s">
        <v>52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1"/>
      <c r="C26" s="11"/>
      <c r="D26" s="11"/>
      <c r="E26" s="11"/>
      <c r="F26" s="11">
        <f t="shared" si="5"/>
        <v>0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1"/>
      <c r="C27" s="11"/>
      <c r="D27" s="11"/>
      <c r="E27" s="11"/>
      <c r="F27" s="11">
        <f t="shared" si="5"/>
        <v>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150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150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467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1368558</v>
      </c>
      <c r="C39" s="150">
        <f>SUM(C8:C38)</f>
        <v>1365579</v>
      </c>
      <c r="D39" s="150">
        <f>SUM(D8:D38)</f>
        <v>111438</v>
      </c>
      <c r="E39" s="150">
        <f>SUM(E8:E38)</f>
        <v>112788</v>
      </c>
      <c r="F39" s="11">
        <f t="shared" si="5"/>
        <v>-1629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144"/>
      <c r="B41" s="151"/>
      <c r="C41" s="153"/>
      <c r="D41" s="153"/>
      <c r="E41" s="153"/>
      <c r="F41" s="251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113"/>
      <c r="B42" s="156">
        <v>37134</v>
      </c>
      <c r="C42" s="153"/>
      <c r="D42" s="153"/>
      <c r="E42" s="153"/>
      <c r="F42" s="474">
        <v>143078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113"/>
      <c r="B43" s="156">
        <v>37143</v>
      </c>
      <c r="C43" s="142"/>
      <c r="D43" s="142"/>
      <c r="E43" s="142"/>
      <c r="F43" s="150">
        <f>+F42+F39</f>
        <v>141449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144"/>
      <c r="B44" s="142"/>
      <c r="C44" s="142"/>
      <c r="D44" s="142"/>
      <c r="E44" s="142"/>
      <c r="F44" s="425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53</v>
      </c>
      <c r="AE45" s="142"/>
      <c r="AF45" s="152">
        <f>+AF42+AF39</f>
        <v>89870</v>
      </c>
      <c r="AG45" s="144"/>
      <c r="AH45" s="153" t="s">
        <v>54</v>
      </c>
      <c r="AI45" s="142"/>
      <c r="AJ45" s="152">
        <f>+AJ42+AJ39</f>
        <v>144671</v>
      </c>
      <c r="AK45" s="144"/>
      <c r="AL45" s="153" t="s">
        <v>55</v>
      </c>
      <c r="AM45" s="142"/>
      <c r="AN45" s="159">
        <f>+AN42+AN39</f>
        <v>218762</v>
      </c>
      <c r="AO45" s="144"/>
      <c r="AP45" s="153" t="s">
        <v>56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145"/>
      <c r="B46" s="157"/>
      <c r="C46" s="154"/>
      <c r="D46" s="154"/>
      <c r="E46" s="154"/>
      <c r="F46" s="326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8" thickTop="1" x14ac:dyDescent="0.25">
      <c r="A49" s="32" t="s">
        <v>167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5">
      <c r="A50" s="49">
        <f>+B42</f>
        <v>37134</v>
      </c>
      <c r="B50" s="32"/>
      <c r="C50" s="32"/>
      <c r="D50" s="469">
        <v>679247.93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5">
      <c r="A51" s="49">
        <f>+B43</f>
        <v>37143</v>
      </c>
      <c r="B51" s="32"/>
      <c r="C51" s="32"/>
      <c r="D51" s="406">
        <f>+F39*'by type_area'!J3</f>
        <v>-3160.2599999999998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5">
      <c r="A52" s="32"/>
      <c r="B52" s="32"/>
      <c r="C52" s="32"/>
      <c r="D52" s="202">
        <f>+D51+D50</f>
        <v>676087.67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5">
      <c r="D53" s="407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5">
      <c r="D54" s="407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5">
      <c r="D55" s="407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5">
      <c r="D56" s="407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5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57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58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14</v>
      </c>
      <c r="C84" s="166" t="s">
        <v>59</v>
      </c>
      <c r="D84" s="166"/>
      <c r="E84" s="166"/>
      <c r="F84" s="146"/>
      <c r="H84" s="146"/>
      <c r="I84" s="166" t="s">
        <v>14</v>
      </c>
      <c r="J84" s="166" t="s">
        <v>59</v>
      </c>
      <c r="K84" s="146"/>
    </row>
    <row r="85" spans="1:11" x14ac:dyDescent="0.25">
      <c r="A85" s="146"/>
      <c r="B85" s="116" t="s">
        <v>51</v>
      </c>
      <c r="C85" s="116" t="s">
        <v>16</v>
      </c>
      <c r="D85" s="116"/>
      <c r="E85" s="116"/>
      <c r="F85" s="167" t="s">
        <v>28</v>
      </c>
      <c r="H85" s="146"/>
      <c r="I85" s="116" t="s">
        <v>51</v>
      </c>
      <c r="J85" s="116" t="s">
        <v>16</v>
      </c>
      <c r="K85" s="167" t="s">
        <v>28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5">
      <c r="A100" s="168" t="s">
        <v>60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5">
      <c r="A101" s="146" t="s">
        <v>61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5">
      <c r="A102" s="146" t="s">
        <v>62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5">
      <c r="A103" s="115" t="s">
        <v>63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5">
      <c r="A105" s="168" t="s">
        <v>64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21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57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58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14</v>
      </c>
      <c r="C124" s="154" t="s">
        <v>59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51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65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66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67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68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69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70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4" workbookViewId="2">
      <selection activeCell="B41" sqref="B41"/>
    </sheetView>
    <sheetView workbookViewId="3">
      <selection activeCell="B3" sqref="B3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71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-142080</v>
      </c>
      <c r="C5" s="24">
        <v>-142462</v>
      </c>
      <c r="D5" s="24">
        <f>+C5-B5</f>
        <v>-382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-138699</v>
      </c>
      <c r="C6" s="51">
        <v>-136853</v>
      </c>
      <c r="D6" s="24">
        <f t="shared" ref="D6:D36" si="0">+C6-B6</f>
        <v>1846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-135130</v>
      </c>
      <c r="C7" s="51">
        <v>-133387</v>
      </c>
      <c r="D7" s="24">
        <f t="shared" si="0"/>
        <v>1743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-125244</v>
      </c>
      <c r="C8" s="51">
        <v>-125558</v>
      </c>
      <c r="D8" s="24">
        <f t="shared" si="0"/>
        <v>-314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>
        <v>-106895</v>
      </c>
      <c r="C9" s="24">
        <v>-107400</v>
      </c>
      <c r="D9" s="24">
        <f t="shared" si="0"/>
        <v>-505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>
        <v>-115168</v>
      </c>
      <c r="C10" s="24">
        <v>-114773</v>
      </c>
      <c r="D10" s="24">
        <f t="shared" si="0"/>
        <v>395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>
        <v>-98089</v>
      </c>
      <c r="C11" s="24">
        <v>-97774</v>
      </c>
      <c r="D11" s="24">
        <f t="shared" si="0"/>
        <v>315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>
        <v>-101801</v>
      </c>
      <c r="C12" s="51">
        <v>-102186</v>
      </c>
      <c r="D12" s="24">
        <f t="shared" si="0"/>
        <v>-385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>
        <v>-101660</v>
      </c>
      <c r="C13" s="24">
        <v>-102186</v>
      </c>
      <c r="D13" s="24">
        <f t="shared" si="0"/>
        <v>-526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>
        <v>-102426</v>
      </c>
      <c r="C14" s="24">
        <v>-102249</v>
      </c>
      <c r="D14" s="24">
        <f t="shared" si="0"/>
        <v>177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24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242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4"/>
      <c r="W34" s="304"/>
      <c r="X34" s="304"/>
      <c r="Y34" s="304"/>
      <c r="Z34" s="149"/>
      <c r="AA34" s="150"/>
      <c r="AB34" s="150"/>
      <c r="AC34" s="150"/>
      <c r="AD34" s="304"/>
      <c r="AE34" s="304"/>
      <c r="AF34" s="304"/>
      <c r="AG34" s="304"/>
      <c r="AH34" s="304"/>
      <c r="AI34" s="304"/>
      <c r="AJ34" s="304"/>
      <c r="AK34" s="304"/>
      <c r="AL34" s="304"/>
      <c r="AM34" s="304"/>
      <c r="AN34" s="304"/>
      <c r="AO34" s="304"/>
      <c r="AP34" s="304"/>
      <c r="AQ34" s="304"/>
      <c r="AR34" s="304"/>
      <c r="AS34" s="304"/>
      <c r="AT34" s="304"/>
      <c r="AU34" s="304"/>
      <c r="AV34" s="304"/>
      <c r="AW34" s="304"/>
      <c r="AX34" s="304"/>
      <c r="AY34" s="304"/>
      <c r="AZ34" s="304"/>
      <c r="BA34" s="304"/>
      <c r="BB34" s="304"/>
      <c r="BC34" s="304"/>
      <c r="BD34" s="304"/>
      <c r="BE34" s="304"/>
      <c r="BF34" s="304"/>
      <c r="BG34" s="304"/>
      <c r="BH34" s="304"/>
      <c r="BI34" s="304"/>
      <c r="BJ34" s="304"/>
      <c r="BK34" s="304"/>
      <c r="BL34" s="304"/>
      <c r="BM34" s="304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4"/>
      <c r="W35" s="304"/>
      <c r="X35" s="304"/>
      <c r="Y35" s="304"/>
      <c r="Z35" s="149"/>
      <c r="AA35" s="150"/>
      <c r="AB35" s="150"/>
      <c r="AC35" s="150"/>
      <c r="AD35" s="304"/>
      <c r="AE35" s="304"/>
      <c r="AF35" s="304"/>
      <c r="AG35" s="304"/>
      <c r="AH35" s="304"/>
      <c r="AI35" s="304"/>
      <c r="AJ35" s="304"/>
      <c r="AK35" s="304"/>
      <c r="AL35" s="304"/>
      <c r="AM35" s="304"/>
      <c r="AN35" s="304"/>
      <c r="AO35" s="304"/>
      <c r="AP35" s="304"/>
      <c r="AQ35" s="304"/>
      <c r="AR35" s="304"/>
      <c r="AS35" s="304"/>
      <c r="AT35" s="304"/>
      <c r="AU35" s="304"/>
      <c r="AV35" s="304"/>
      <c r="AW35" s="304"/>
      <c r="AX35" s="304"/>
      <c r="AY35" s="304"/>
      <c r="AZ35" s="304"/>
      <c r="BA35" s="304"/>
      <c r="BB35" s="304"/>
      <c r="BC35" s="304"/>
      <c r="BD35" s="304"/>
      <c r="BE35" s="304"/>
      <c r="BF35" s="304"/>
      <c r="BG35" s="304"/>
      <c r="BH35" s="304"/>
      <c r="BI35" s="304"/>
      <c r="BJ35" s="304"/>
      <c r="BK35" s="304"/>
      <c r="BL35" s="304"/>
      <c r="BM35" s="304"/>
    </row>
    <row r="36" spans="1:65" ht="14.1" customHeight="1" x14ac:dyDescent="0.25">
      <c r="A36" s="12"/>
      <c r="B36" s="24">
        <f>SUM(B5:B35)</f>
        <v>-1167192</v>
      </c>
      <c r="C36" s="24">
        <f>SUM(C5:C35)</f>
        <v>-1164828</v>
      </c>
      <c r="D36" s="24">
        <f t="shared" si="0"/>
        <v>2364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4"/>
      <c r="W36" s="304"/>
      <c r="X36" s="304"/>
      <c r="Y36" s="304"/>
      <c r="Z36" s="149"/>
      <c r="AA36" s="150"/>
      <c r="AB36" s="150"/>
      <c r="AC36" s="150"/>
      <c r="AD36" s="304"/>
      <c r="AE36" s="304"/>
      <c r="AF36" s="304"/>
      <c r="AG36" s="304"/>
      <c r="AH36" s="304"/>
      <c r="AI36" s="304"/>
      <c r="AJ36" s="304"/>
      <c r="AK36" s="304"/>
      <c r="AL36" s="304"/>
      <c r="AM36" s="304"/>
      <c r="AN36" s="304"/>
      <c r="AO36" s="304"/>
      <c r="AP36" s="304"/>
      <c r="AQ36" s="304"/>
      <c r="AR36" s="304"/>
      <c r="AS36" s="304"/>
      <c r="AT36" s="304"/>
      <c r="AU36" s="304"/>
      <c r="AV36" s="304"/>
      <c r="AW36" s="304"/>
      <c r="AX36" s="304"/>
      <c r="AY36" s="304"/>
      <c r="AZ36" s="304"/>
      <c r="BA36" s="304"/>
      <c r="BB36" s="304"/>
      <c r="BC36" s="304"/>
      <c r="BD36" s="304"/>
      <c r="BE36" s="304"/>
      <c r="BF36" s="304"/>
      <c r="BG36" s="304"/>
      <c r="BH36" s="304"/>
      <c r="BI36" s="304"/>
      <c r="BJ36" s="304"/>
      <c r="BK36" s="304"/>
      <c r="BL36" s="304"/>
      <c r="BM36" s="304"/>
    </row>
    <row r="37" spans="1:65" ht="14.1" customHeight="1" x14ac:dyDescent="0.25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4"/>
      <c r="W37" s="304"/>
      <c r="X37" s="304"/>
      <c r="Y37" s="304"/>
      <c r="Z37" s="206"/>
      <c r="AA37" s="208"/>
      <c r="AB37" s="208"/>
      <c r="AC37" s="208"/>
      <c r="AD37" s="304"/>
      <c r="AE37" s="304"/>
      <c r="AF37" s="304"/>
      <c r="AG37" s="304"/>
      <c r="AH37" s="304"/>
      <c r="AI37" s="304"/>
      <c r="AJ37" s="304"/>
      <c r="AK37" s="304"/>
      <c r="AL37" s="304"/>
      <c r="AM37" s="304"/>
      <c r="AN37" s="304"/>
      <c r="AO37" s="304"/>
      <c r="AP37" s="304"/>
      <c r="AQ37" s="304"/>
      <c r="AR37" s="304"/>
      <c r="AS37" s="304"/>
      <c r="AT37" s="304"/>
      <c r="AU37" s="304"/>
      <c r="AV37" s="304"/>
      <c r="AW37" s="304"/>
      <c r="AX37" s="304"/>
      <c r="AY37" s="304"/>
      <c r="AZ37" s="304"/>
      <c r="BA37" s="304"/>
      <c r="BB37" s="304"/>
      <c r="BC37" s="304"/>
      <c r="BD37" s="304"/>
      <c r="BE37" s="304"/>
      <c r="BF37" s="304"/>
      <c r="BG37" s="304"/>
      <c r="BH37" s="304"/>
      <c r="BI37" s="304"/>
      <c r="BJ37" s="304"/>
      <c r="BK37" s="304"/>
      <c r="BL37" s="304"/>
      <c r="BM37" s="304"/>
    </row>
    <row r="38" spans="1:65" x14ac:dyDescent="0.25">
      <c r="B38" s="255">
        <v>37134</v>
      </c>
      <c r="C38" s="24"/>
      <c r="D38" s="468">
        <v>47553</v>
      </c>
      <c r="E38" s="2"/>
      <c r="G38" s="24"/>
      <c r="H38" s="24"/>
      <c r="I38" s="150"/>
      <c r="J38" s="304"/>
      <c r="K38" s="150"/>
      <c r="L38" s="150"/>
      <c r="M38" s="150"/>
      <c r="N38" s="304"/>
      <c r="O38" s="150"/>
      <c r="P38" s="150"/>
      <c r="Q38" s="150"/>
      <c r="R38" s="304"/>
      <c r="S38" s="150"/>
      <c r="T38" s="150"/>
      <c r="U38" s="150"/>
      <c r="V38" s="304"/>
      <c r="W38" s="304"/>
      <c r="X38" s="304"/>
      <c r="Y38" s="304"/>
      <c r="Z38" s="304"/>
      <c r="AA38" s="150"/>
      <c r="AB38" s="150"/>
      <c r="AC38" s="150"/>
      <c r="AD38" s="304"/>
      <c r="AE38" s="304"/>
      <c r="AF38" s="304"/>
      <c r="AG38" s="304"/>
      <c r="AH38" s="304"/>
      <c r="AI38" s="304"/>
      <c r="AJ38" s="304"/>
      <c r="AK38" s="304"/>
      <c r="AL38" s="304"/>
      <c r="AM38" s="304"/>
      <c r="AN38" s="304"/>
      <c r="AO38" s="304"/>
      <c r="AP38" s="304"/>
      <c r="AQ38" s="304"/>
      <c r="AR38" s="304"/>
      <c r="AS38" s="304"/>
      <c r="AT38" s="304"/>
      <c r="AU38" s="304"/>
      <c r="AV38" s="304"/>
      <c r="AW38" s="304"/>
      <c r="AX38" s="304"/>
      <c r="AY38" s="304"/>
      <c r="AZ38" s="304"/>
      <c r="BA38" s="304"/>
      <c r="BB38" s="304"/>
      <c r="BC38" s="304"/>
      <c r="BD38" s="304"/>
      <c r="BE38" s="304"/>
      <c r="BF38" s="304"/>
      <c r="BG38" s="304"/>
      <c r="BH38" s="304"/>
      <c r="BI38" s="304"/>
      <c r="BJ38" s="304"/>
      <c r="BK38" s="304"/>
      <c r="BL38" s="304"/>
      <c r="BM38" s="304"/>
    </row>
    <row r="39" spans="1:65" x14ac:dyDescent="0.25">
      <c r="B39" s="255"/>
      <c r="C39" s="24"/>
      <c r="D39" s="24"/>
      <c r="E39" s="2"/>
      <c r="G39" s="24"/>
      <c r="H39" s="24"/>
      <c r="I39" s="150"/>
      <c r="J39" s="304"/>
      <c r="K39" s="150"/>
      <c r="L39" s="150"/>
      <c r="M39" s="150"/>
      <c r="N39" s="304"/>
      <c r="O39" s="150"/>
      <c r="P39" s="150"/>
      <c r="Q39" s="150"/>
      <c r="R39" s="304"/>
      <c r="S39" s="150"/>
      <c r="T39" s="150"/>
      <c r="U39" s="150"/>
      <c r="V39" s="304"/>
      <c r="W39" s="304"/>
      <c r="X39" s="304"/>
      <c r="Y39" s="304"/>
      <c r="Z39" s="304"/>
      <c r="AA39" s="150"/>
      <c r="AB39" s="150"/>
      <c r="AC39" s="150"/>
      <c r="AD39" s="304"/>
      <c r="AE39" s="304"/>
      <c r="AF39" s="304"/>
      <c r="AG39" s="304"/>
      <c r="AH39" s="304"/>
      <c r="AI39" s="304"/>
      <c r="AJ39" s="304"/>
      <c r="AK39" s="304"/>
      <c r="AL39" s="304"/>
      <c r="AM39" s="304"/>
      <c r="AN39" s="304"/>
      <c r="AO39" s="304"/>
      <c r="AP39" s="304"/>
      <c r="AQ39" s="304"/>
      <c r="AR39" s="304"/>
      <c r="AS39" s="304"/>
      <c r="AT39" s="304"/>
      <c r="AU39" s="304"/>
      <c r="AV39" s="304"/>
      <c r="AW39" s="304"/>
      <c r="AX39" s="304"/>
      <c r="AY39" s="304"/>
      <c r="AZ39" s="304"/>
      <c r="BA39" s="304"/>
      <c r="BB39" s="304"/>
      <c r="BC39" s="304"/>
      <c r="BD39" s="304"/>
      <c r="BE39" s="304"/>
      <c r="BF39" s="304"/>
      <c r="BG39" s="304"/>
      <c r="BH39" s="304"/>
      <c r="BI39" s="304"/>
      <c r="BJ39" s="304"/>
      <c r="BK39" s="304"/>
      <c r="BL39" s="304"/>
      <c r="BM39" s="304"/>
    </row>
    <row r="40" spans="1:65" ht="13.8" thickBot="1" x14ac:dyDescent="0.3">
      <c r="B40" s="255">
        <v>37145</v>
      </c>
      <c r="C40" s="24"/>
      <c r="D40" s="195">
        <f>+D36+D38</f>
        <v>49917</v>
      </c>
      <c r="E40" s="196"/>
      <c r="G40" s="24"/>
      <c r="H40" s="24"/>
      <c r="I40" s="150"/>
      <c r="J40" s="304"/>
      <c r="K40" s="150"/>
      <c r="L40" s="150"/>
      <c r="M40" s="150"/>
      <c r="N40" s="304"/>
      <c r="O40" s="150"/>
      <c r="P40" s="150"/>
      <c r="Q40" s="169"/>
      <c r="R40" s="304"/>
      <c r="S40" s="150"/>
      <c r="T40" s="150"/>
      <c r="U40" s="169"/>
      <c r="V40" s="304"/>
      <c r="W40" s="304"/>
      <c r="X40" s="304"/>
      <c r="Y40" s="304"/>
      <c r="Z40" s="304"/>
      <c r="AA40" s="150"/>
      <c r="AB40" s="150"/>
      <c r="AC40" s="169"/>
      <c r="AD40" s="304"/>
      <c r="AE40" s="304"/>
      <c r="AF40" s="304"/>
      <c r="AG40" s="304"/>
      <c r="AH40" s="304"/>
      <c r="AI40" s="304"/>
      <c r="AJ40" s="304"/>
      <c r="AK40" s="304"/>
      <c r="AL40" s="304"/>
      <c r="AM40" s="304"/>
      <c r="AN40" s="304"/>
      <c r="AO40" s="304"/>
      <c r="AP40" s="304"/>
      <c r="AQ40" s="304"/>
      <c r="AR40" s="304"/>
      <c r="AS40" s="304"/>
      <c r="AT40" s="304"/>
      <c r="AU40" s="304"/>
      <c r="AV40" s="304"/>
      <c r="AW40" s="304"/>
      <c r="AX40" s="304"/>
      <c r="AY40" s="304"/>
      <c r="AZ40" s="304"/>
      <c r="BA40" s="304"/>
      <c r="BB40" s="304"/>
      <c r="BC40" s="304"/>
      <c r="BD40" s="304"/>
      <c r="BE40" s="304"/>
      <c r="BF40" s="304"/>
      <c r="BG40" s="304"/>
      <c r="BH40" s="304"/>
      <c r="BI40" s="304"/>
      <c r="BJ40" s="304"/>
      <c r="BK40" s="304"/>
      <c r="BL40" s="304"/>
      <c r="BM40" s="304"/>
    </row>
    <row r="41" spans="1:65" ht="13.8" thickTop="1" x14ac:dyDescent="0.25">
      <c r="B41" s="256"/>
      <c r="C41"/>
      <c r="D41"/>
      <c r="E41" s="2"/>
      <c r="I41" s="304"/>
      <c r="J41" s="304"/>
      <c r="K41" s="304"/>
      <c r="L41" s="304"/>
      <c r="M41" s="304"/>
      <c r="N41" s="304"/>
      <c r="O41" s="304"/>
      <c r="P41" s="304"/>
      <c r="Q41" s="304"/>
      <c r="R41" s="304"/>
      <c r="S41" s="304"/>
      <c r="T41" s="304"/>
      <c r="U41" s="304"/>
      <c r="V41" s="304"/>
      <c r="W41" s="304"/>
      <c r="X41" s="304"/>
      <c r="Y41" s="304"/>
      <c r="Z41" s="304"/>
      <c r="AA41" s="304"/>
      <c r="AB41" s="304"/>
      <c r="AC41" s="304"/>
      <c r="AD41" s="304"/>
      <c r="AE41" s="304"/>
      <c r="AF41" s="304"/>
      <c r="AG41" s="304"/>
      <c r="AH41" s="304"/>
      <c r="AI41" s="304"/>
      <c r="AJ41" s="304"/>
      <c r="AK41" s="304"/>
      <c r="AL41" s="304"/>
      <c r="AM41" s="304"/>
      <c r="AN41" s="304"/>
      <c r="AO41" s="304"/>
      <c r="AP41" s="304"/>
      <c r="AQ41" s="304"/>
      <c r="AR41" s="304"/>
      <c r="AS41" s="304"/>
      <c r="AT41" s="304"/>
      <c r="AU41" s="304"/>
      <c r="AV41" s="304"/>
      <c r="AW41" s="304"/>
      <c r="AX41" s="304"/>
      <c r="AY41" s="304"/>
      <c r="AZ41" s="304"/>
      <c r="BA41" s="304"/>
      <c r="BB41" s="304"/>
      <c r="BC41" s="304"/>
      <c r="BD41" s="304"/>
      <c r="BE41" s="304"/>
      <c r="BF41" s="304"/>
      <c r="BG41" s="304"/>
      <c r="BH41" s="304"/>
      <c r="BI41" s="304"/>
      <c r="BJ41" s="304"/>
      <c r="BK41" s="304"/>
      <c r="BL41" s="304"/>
      <c r="BM41" s="304"/>
    </row>
    <row r="42" spans="1:65" x14ac:dyDescent="0.25">
      <c r="B42" s="2"/>
      <c r="C42"/>
      <c r="D42"/>
      <c r="I42" s="304"/>
      <c r="J42" s="304"/>
      <c r="K42" s="304"/>
      <c r="L42" s="304"/>
      <c r="M42" s="304"/>
      <c r="N42" s="304"/>
      <c r="O42" s="304"/>
      <c r="P42" s="304"/>
      <c r="Q42" s="304"/>
      <c r="R42" s="304"/>
      <c r="S42" s="304"/>
      <c r="T42" s="304"/>
      <c r="U42" s="304"/>
      <c r="V42" s="304"/>
      <c r="W42" s="304"/>
      <c r="X42" s="304"/>
      <c r="Y42" s="304"/>
      <c r="Z42" s="304"/>
      <c r="AA42" s="304"/>
      <c r="AB42" s="304"/>
      <c r="AC42" s="304"/>
      <c r="AD42" s="304"/>
      <c r="AE42" s="304"/>
      <c r="AF42" s="304"/>
      <c r="AG42" s="304"/>
      <c r="AH42" s="304"/>
      <c r="AI42" s="304"/>
      <c r="AJ42" s="304"/>
      <c r="AK42" s="304"/>
      <c r="AL42" s="304"/>
      <c r="AM42" s="304"/>
      <c r="AN42" s="304"/>
      <c r="AO42" s="304"/>
      <c r="AP42" s="304"/>
      <c r="AQ42" s="304"/>
      <c r="AR42" s="304"/>
      <c r="AS42" s="304"/>
      <c r="AT42" s="304"/>
      <c r="AU42" s="304"/>
      <c r="AV42" s="304"/>
      <c r="AW42" s="304"/>
      <c r="AX42" s="304"/>
      <c r="AY42" s="304"/>
      <c r="AZ42" s="304"/>
      <c r="BA42" s="304"/>
      <c r="BB42" s="304"/>
      <c r="BC42" s="304"/>
      <c r="BD42" s="304"/>
      <c r="BE42" s="304"/>
      <c r="BF42" s="304"/>
      <c r="BG42" s="304"/>
      <c r="BH42" s="304"/>
      <c r="BI42" s="304"/>
      <c r="BJ42" s="304"/>
      <c r="BK42" s="304"/>
      <c r="BL42" s="304"/>
      <c r="BM42" s="304"/>
    </row>
    <row r="43" spans="1:65" x14ac:dyDescent="0.25">
      <c r="B43"/>
      <c r="C43"/>
      <c r="D43"/>
      <c r="I43" s="304"/>
      <c r="J43" s="304"/>
      <c r="K43" s="304"/>
      <c r="L43" s="304"/>
      <c r="M43" s="304"/>
      <c r="N43" s="304"/>
      <c r="O43" s="304"/>
      <c r="P43" s="304"/>
      <c r="Q43" s="304"/>
      <c r="R43" s="304"/>
      <c r="S43" s="304"/>
      <c r="T43" s="304"/>
      <c r="U43" s="304"/>
      <c r="V43" s="304"/>
      <c r="W43" s="304"/>
      <c r="X43" s="304"/>
      <c r="Y43" s="304"/>
      <c r="Z43" s="304"/>
      <c r="AA43" s="304"/>
      <c r="AB43" s="304"/>
      <c r="AC43" s="304"/>
      <c r="AD43" s="304"/>
      <c r="AE43" s="304"/>
      <c r="AF43" s="304"/>
      <c r="AG43" s="304"/>
      <c r="AH43" s="304"/>
      <c r="AI43" s="304"/>
      <c r="AJ43" s="304"/>
      <c r="AK43" s="304"/>
      <c r="AL43" s="304"/>
      <c r="AM43" s="304"/>
      <c r="AN43" s="304"/>
      <c r="AO43" s="304"/>
      <c r="AP43" s="304"/>
      <c r="AQ43" s="304"/>
      <c r="AR43" s="304"/>
      <c r="AS43" s="304"/>
      <c r="AT43" s="304"/>
      <c r="AU43" s="304"/>
      <c r="AV43" s="304"/>
      <c r="AW43" s="304"/>
      <c r="AX43" s="304"/>
      <c r="AY43" s="304"/>
      <c r="AZ43" s="304"/>
      <c r="BA43" s="304"/>
      <c r="BB43" s="304"/>
      <c r="BC43" s="304"/>
      <c r="BD43" s="304"/>
      <c r="BE43" s="304"/>
      <c r="BF43" s="304"/>
      <c r="BG43" s="304"/>
      <c r="BH43" s="304"/>
      <c r="BI43" s="304"/>
      <c r="BJ43" s="304"/>
      <c r="BK43" s="304"/>
      <c r="BL43" s="304"/>
      <c r="BM43" s="304"/>
    </row>
    <row r="44" spans="1:65" x14ac:dyDescent="0.25">
      <c r="A44" s="32" t="s">
        <v>158</v>
      </c>
      <c r="B44" s="32"/>
      <c r="C44" s="32"/>
      <c r="D44" s="47"/>
      <c r="I44" s="304"/>
      <c r="J44" s="304"/>
      <c r="K44" s="304"/>
      <c r="L44" s="304"/>
      <c r="M44" s="304"/>
      <c r="N44" s="304"/>
      <c r="O44" s="304"/>
      <c r="P44" s="304"/>
      <c r="Q44" s="304"/>
      <c r="R44" s="304"/>
      <c r="S44" s="304"/>
      <c r="T44" s="304"/>
      <c r="U44" s="304"/>
      <c r="V44" s="304"/>
      <c r="W44" s="304"/>
      <c r="X44" s="304"/>
      <c r="Y44" s="304"/>
      <c r="Z44" s="304"/>
      <c r="AA44" s="304"/>
      <c r="AB44" s="304"/>
      <c r="AC44" s="304"/>
      <c r="AD44" s="304"/>
      <c r="AE44" s="304"/>
      <c r="AF44" s="304"/>
      <c r="AG44" s="304"/>
      <c r="AH44" s="304"/>
      <c r="AI44" s="304"/>
      <c r="AJ44" s="304"/>
      <c r="AK44" s="304"/>
      <c r="AL44" s="304"/>
      <c r="AM44" s="304"/>
      <c r="AN44" s="304"/>
      <c r="AO44" s="304"/>
      <c r="AP44" s="304"/>
      <c r="AQ44" s="304"/>
      <c r="AR44" s="304"/>
      <c r="AS44" s="304"/>
      <c r="AT44" s="304"/>
      <c r="AU44" s="304"/>
      <c r="AV44" s="304"/>
      <c r="AW44" s="304"/>
      <c r="AX44" s="304"/>
      <c r="AY44" s="304"/>
      <c r="AZ44" s="304"/>
      <c r="BA44" s="304"/>
      <c r="BB44" s="304"/>
      <c r="BC44" s="304"/>
      <c r="BD44" s="304"/>
      <c r="BE44" s="304"/>
      <c r="BF44" s="304"/>
      <c r="BG44" s="304"/>
      <c r="BH44" s="304"/>
      <c r="BI44" s="304"/>
      <c r="BJ44" s="304"/>
      <c r="BK44" s="304"/>
      <c r="BL44" s="304"/>
      <c r="BM44" s="304"/>
    </row>
    <row r="45" spans="1:65" x14ac:dyDescent="0.25">
      <c r="A45" s="49">
        <f>+B38</f>
        <v>37134</v>
      </c>
      <c r="B45" s="32"/>
      <c r="C45" s="32"/>
      <c r="D45" s="469">
        <v>-252720.37</v>
      </c>
    </row>
    <row r="46" spans="1:65" x14ac:dyDescent="0.25">
      <c r="A46" s="49">
        <f>+B40</f>
        <v>37145</v>
      </c>
      <c r="B46" s="32"/>
      <c r="C46" s="32"/>
      <c r="D46" s="406">
        <f>+D36*'by type_area'!J4</f>
        <v>4798.9199999999992</v>
      </c>
    </row>
    <row r="47" spans="1:65" x14ac:dyDescent="0.25">
      <c r="A47" s="32"/>
      <c r="B47" s="32"/>
      <c r="C47" s="32"/>
      <c r="D47" s="202">
        <f>+D46+D45</f>
        <v>-247921.44999999998</v>
      </c>
    </row>
    <row r="48" spans="1:65" x14ac:dyDescent="0.25">
      <c r="B48"/>
      <c r="C48"/>
      <c r="D48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3" workbookViewId="3">
      <selection activeCell="B5" sqref="B5"/>
    </sheetView>
  </sheetViews>
  <sheetFormatPr defaultRowHeight="13.2" x14ac:dyDescent="0.25"/>
  <cols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65"/>
      <c r="D3" s="88"/>
    </row>
    <row r="4" spans="1:13" x14ac:dyDescent="0.25">
      <c r="A4" s="87"/>
      <c r="B4" s="261" t="s">
        <v>20</v>
      </c>
      <c r="C4" s="261" t="s">
        <v>21</v>
      </c>
      <c r="D4" s="262" t="s">
        <v>51</v>
      </c>
    </row>
    <row r="5" spans="1:13" x14ac:dyDescent="0.25">
      <c r="A5" s="87">
        <v>56339</v>
      </c>
      <c r="B5" s="90">
        <v>376434</v>
      </c>
      <c r="C5" s="90">
        <v>380734</v>
      </c>
      <c r="D5" s="90">
        <f>+C5-B5</f>
        <v>4300</v>
      </c>
      <c r="E5" s="285"/>
      <c r="F5" s="283"/>
    </row>
    <row r="6" spans="1:13" x14ac:dyDescent="0.25">
      <c r="A6" s="87">
        <v>500232</v>
      </c>
      <c r="B6" s="90"/>
      <c r="C6" s="90"/>
      <c r="D6" s="90">
        <f t="shared" ref="D6:D17" si="0">+C6-B6</f>
        <v>0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5">
      <c r="A7" s="87">
        <v>500238</v>
      </c>
      <c r="B7" s="90">
        <v>292575</v>
      </c>
      <c r="C7" s="90">
        <v>366883</v>
      </c>
      <c r="D7" s="90">
        <f t="shared" si="0"/>
        <v>74308</v>
      </c>
      <c r="E7" s="285"/>
      <c r="F7" s="283"/>
      <c r="L7" t="s">
        <v>26</v>
      </c>
      <c r="M7">
        <v>7.6</v>
      </c>
    </row>
    <row r="8" spans="1:13" x14ac:dyDescent="0.25">
      <c r="A8" s="87">
        <v>500239</v>
      </c>
      <c r="B8" s="319">
        <v>216563</v>
      </c>
      <c r="C8" s="90">
        <v>259869</v>
      </c>
      <c r="D8" s="90">
        <f t="shared" si="0"/>
        <v>43306</v>
      </c>
      <c r="E8" s="285"/>
      <c r="F8" s="283"/>
    </row>
    <row r="9" spans="1:13" x14ac:dyDescent="0.25">
      <c r="A9" s="87">
        <v>500293</v>
      </c>
      <c r="B9" s="90">
        <v>154496</v>
      </c>
      <c r="C9" s="90">
        <v>224570</v>
      </c>
      <c r="D9" s="90">
        <f t="shared" si="0"/>
        <v>70074</v>
      </c>
      <c r="E9" s="285"/>
      <c r="F9" s="283"/>
    </row>
    <row r="10" spans="1:13" x14ac:dyDescent="0.25">
      <c r="A10" s="87">
        <v>500302</v>
      </c>
      <c r="B10" s="319"/>
      <c r="C10" s="319">
        <v>4158</v>
      </c>
      <c r="D10" s="90">
        <f t="shared" si="0"/>
        <v>4158</v>
      </c>
      <c r="E10" s="285"/>
      <c r="F10" s="283"/>
    </row>
    <row r="11" spans="1:13" x14ac:dyDescent="0.25">
      <c r="A11" s="87">
        <v>500303</v>
      </c>
      <c r="B11" s="319">
        <v>82257</v>
      </c>
      <c r="C11" s="90">
        <v>122673</v>
      </c>
      <c r="D11" s="90">
        <f t="shared" si="0"/>
        <v>40416</v>
      </c>
      <c r="E11" s="285"/>
      <c r="F11" s="283"/>
    </row>
    <row r="12" spans="1:13" x14ac:dyDescent="0.25">
      <c r="A12" s="91">
        <v>500305</v>
      </c>
      <c r="B12" s="319">
        <f>354168+35821</f>
        <v>389989</v>
      </c>
      <c r="C12" s="90">
        <v>487875</v>
      </c>
      <c r="D12" s="90">
        <f t="shared" si="0"/>
        <v>97886</v>
      </c>
      <c r="E12" s="286"/>
      <c r="F12" s="283"/>
    </row>
    <row r="13" spans="1:13" x14ac:dyDescent="0.25">
      <c r="A13" s="87">
        <v>500307</v>
      </c>
      <c r="B13" s="319">
        <v>18571</v>
      </c>
      <c r="C13" s="90">
        <v>24244</v>
      </c>
      <c r="D13" s="90">
        <f t="shared" si="0"/>
        <v>5673</v>
      </c>
      <c r="E13" s="285"/>
      <c r="F13" s="283"/>
    </row>
    <row r="14" spans="1:13" x14ac:dyDescent="0.25">
      <c r="A14" s="87">
        <v>500313</v>
      </c>
      <c r="B14" s="90"/>
      <c r="C14" s="319">
        <v>1153</v>
      </c>
      <c r="D14" s="90">
        <f t="shared" si="0"/>
        <v>1153</v>
      </c>
      <c r="E14" s="285"/>
      <c r="F14" s="283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85"/>
      <c r="F15" s="283"/>
    </row>
    <row r="16" spans="1:13" x14ac:dyDescent="0.25">
      <c r="A16" s="87">
        <v>500655</v>
      </c>
      <c r="B16" s="325">
        <v>246765</v>
      </c>
      <c r="C16" s="90"/>
      <c r="D16" s="90">
        <f t="shared" si="0"/>
        <v>-246765</v>
      </c>
      <c r="E16" s="285"/>
      <c r="F16" s="283"/>
    </row>
    <row r="17" spans="1:6" x14ac:dyDescent="0.25">
      <c r="A17" s="87">
        <v>500657</v>
      </c>
      <c r="B17" s="335">
        <v>60571</v>
      </c>
      <c r="C17" s="88">
        <v>33200</v>
      </c>
      <c r="D17" s="94">
        <f t="shared" si="0"/>
        <v>-27371</v>
      </c>
      <c r="E17" s="285"/>
      <c r="F17" s="283"/>
    </row>
    <row r="18" spans="1:6" x14ac:dyDescent="0.25">
      <c r="A18" s="87"/>
      <c r="B18" s="88"/>
      <c r="C18" s="88"/>
      <c r="D18" s="88">
        <f>SUM(D5:D17)</f>
        <v>67138</v>
      </c>
      <c r="E18" s="285"/>
      <c r="F18" s="283"/>
    </row>
    <row r="19" spans="1:6" x14ac:dyDescent="0.25">
      <c r="A19" s="87" t="s">
        <v>84</v>
      </c>
      <c r="B19" s="88"/>
      <c r="C19" s="88"/>
      <c r="D19" s="95">
        <f>+summary!H4</f>
        <v>2.0299999999999998</v>
      </c>
      <c r="E19" s="287"/>
      <c r="F19" s="283"/>
    </row>
    <row r="20" spans="1:6" x14ac:dyDescent="0.25">
      <c r="A20" s="87"/>
      <c r="B20" s="88"/>
      <c r="C20" s="88"/>
      <c r="D20" s="96">
        <f>+D19*D18</f>
        <v>136290.13999999998</v>
      </c>
      <c r="E20" s="209"/>
      <c r="F20" s="284"/>
    </row>
    <row r="21" spans="1:6" x14ac:dyDescent="0.25">
      <c r="A21" s="87"/>
      <c r="B21" s="88"/>
      <c r="C21" s="88"/>
      <c r="D21" s="96"/>
      <c r="E21" s="209"/>
      <c r="F21" s="74"/>
    </row>
    <row r="22" spans="1:6" x14ac:dyDescent="0.25">
      <c r="A22" s="99">
        <v>37134</v>
      </c>
      <c r="B22" s="88"/>
      <c r="C22" s="88"/>
      <c r="D22" s="483">
        <v>-6642.45</v>
      </c>
      <c r="E22" s="209"/>
      <c r="F22" s="66"/>
    </row>
    <row r="23" spans="1:6" x14ac:dyDescent="0.25">
      <c r="A23" s="87"/>
      <c r="B23" s="88"/>
      <c r="C23" s="88"/>
      <c r="D23" s="322"/>
      <c r="E23" s="209"/>
      <c r="F23" s="66"/>
    </row>
    <row r="24" spans="1:6" ht="13.8" thickBot="1" x14ac:dyDescent="0.3">
      <c r="A24" s="99">
        <v>37145</v>
      </c>
      <c r="B24" s="88"/>
      <c r="C24" s="88"/>
      <c r="D24" s="334">
        <f>+D22+D20</f>
        <v>129647.68999999999</v>
      </c>
      <c r="E24" s="209"/>
      <c r="F24" s="66"/>
    </row>
    <row r="25" spans="1:6" ht="13.8" thickTop="1" x14ac:dyDescent="0.25">
      <c r="E25" s="288"/>
    </row>
    <row r="28" spans="1:6" x14ac:dyDescent="0.25">
      <c r="A28" s="32" t="s">
        <v>157</v>
      </c>
      <c r="B28" s="32"/>
      <c r="C28" s="32"/>
      <c r="D28" s="32"/>
    </row>
    <row r="29" spans="1:6" x14ac:dyDescent="0.25">
      <c r="A29" s="49">
        <f>+A22</f>
        <v>37134</v>
      </c>
      <c r="B29" s="32"/>
      <c r="C29" s="32"/>
      <c r="D29" s="477">
        <v>-37836</v>
      </c>
    </row>
    <row r="30" spans="1:6" x14ac:dyDescent="0.25">
      <c r="A30" s="49">
        <f>+A24</f>
        <v>37145</v>
      </c>
      <c r="B30" s="32"/>
      <c r="C30" s="32"/>
      <c r="D30" s="377">
        <f>+D18</f>
        <v>67138</v>
      </c>
    </row>
    <row r="31" spans="1:6" x14ac:dyDescent="0.25">
      <c r="A31" s="32"/>
      <c r="B31" s="32"/>
      <c r="C31" s="32"/>
      <c r="D31" s="14">
        <f>+D30+D29</f>
        <v>29302</v>
      </c>
    </row>
    <row r="32" spans="1:6" x14ac:dyDescent="0.25">
      <c r="A32" s="139"/>
      <c r="B32" s="119"/>
      <c r="C32" s="140"/>
      <c r="D32" s="140"/>
    </row>
    <row r="33" spans="1:7" x14ac:dyDescent="0.25">
      <c r="B33" s="69"/>
      <c r="C33" s="69"/>
      <c r="D33" s="69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D45" sqref="D45"/>
    </sheetView>
    <sheetView topLeftCell="A11" workbookViewId="3">
      <selection activeCell="D14" sqref="D14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.5546875" style="32" bestFit="1" customWidth="1"/>
    <col min="4" max="4" width="8.88671875" style="32" customWidth="1"/>
    <col min="5" max="6" width="12.5546875" style="32" bestFit="1" customWidth="1"/>
    <col min="7" max="7" width="9.109375" style="2"/>
    <col min="8" max="8" width="6.109375" style="32" bestFit="1" customWidth="1"/>
    <col min="9" max="9" width="9" style="32" bestFit="1" customWidth="1"/>
    <col min="10" max="10" width="9.109375" style="32"/>
    <col min="11" max="11" width="9" style="32" bestFit="1" customWidth="1"/>
    <col min="12" max="12" width="5.44140625" style="32" bestFit="1" customWidth="1"/>
    <col min="13" max="13" width="10.109375" style="32" bestFit="1" customWidth="1"/>
    <col min="14" max="15" width="11.44140625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14" x14ac:dyDescent="0.2">
      <c r="A1" s="37"/>
    </row>
    <row r="2" spans="1:14" x14ac:dyDescent="0.2">
      <c r="A2" s="2"/>
      <c r="B2" s="12" t="s">
        <v>48</v>
      </c>
      <c r="C2" s="205"/>
      <c r="D2" s="12" t="s">
        <v>49</v>
      </c>
      <c r="E2" s="12"/>
      <c r="F2" s="4"/>
      <c r="I2" s="444"/>
      <c r="J2" s="2"/>
      <c r="K2" s="2"/>
      <c r="L2" s="104"/>
      <c r="M2" s="143" t="s">
        <v>197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44" t="s">
        <v>40</v>
      </c>
      <c r="I3" s="4" t="s">
        <v>20</v>
      </c>
      <c r="J3" s="4" t="s">
        <v>21</v>
      </c>
      <c r="K3" s="442" t="s">
        <v>51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28554</v>
      </c>
      <c r="C4" s="11">
        <v>33234</v>
      </c>
      <c r="D4" s="11">
        <v>33359</v>
      </c>
      <c r="E4" s="11">
        <v>35317</v>
      </c>
      <c r="F4" s="25">
        <f>+E4+C4-D4-B4</f>
        <v>6638</v>
      </c>
      <c r="G4" s="25"/>
      <c r="H4" s="444"/>
      <c r="I4" s="14"/>
      <c r="J4" s="14"/>
      <c r="K4" s="14">
        <f t="shared" ref="K4:K9" si="0">+J4-I4</f>
        <v>0</v>
      </c>
      <c r="L4" s="388"/>
      <c r="M4" s="75">
        <f t="shared" ref="M4:M9" si="1">+L4*K4</f>
        <v>0</v>
      </c>
    </row>
    <row r="5" spans="1:14" x14ac:dyDescent="0.2">
      <c r="A5" s="41">
        <v>2</v>
      </c>
      <c r="B5" s="11">
        <v>15625</v>
      </c>
      <c r="C5" s="11">
        <v>16488</v>
      </c>
      <c r="D5" s="11">
        <v>35760</v>
      </c>
      <c r="E5" s="11">
        <v>37983</v>
      </c>
      <c r="F5" s="25">
        <f t="shared" ref="F5:F34" si="2">+E5+C5-D5-B5</f>
        <v>3086</v>
      </c>
      <c r="G5" s="25"/>
      <c r="H5" s="444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88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28573</v>
      </c>
      <c r="C6" s="11">
        <v>29845</v>
      </c>
      <c r="D6" s="11">
        <v>33221</v>
      </c>
      <c r="E6" s="11">
        <v>34952</v>
      </c>
      <c r="F6" s="25">
        <f t="shared" si="2"/>
        <v>3003</v>
      </c>
      <c r="G6" s="25"/>
      <c r="H6" s="444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88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25755</v>
      </c>
      <c r="C7" s="11">
        <v>30000</v>
      </c>
      <c r="D7" s="11">
        <v>32149</v>
      </c>
      <c r="E7" s="11">
        <v>33000</v>
      </c>
      <c r="F7" s="25">
        <f t="shared" si="2"/>
        <v>5096</v>
      </c>
      <c r="G7" s="25"/>
      <c r="H7" s="444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88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28748</v>
      </c>
      <c r="C8" s="11">
        <v>27000</v>
      </c>
      <c r="D8" s="11">
        <v>29943</v>
      </c>
      <c r="E8" s="11">
        <v>29000</v>
      </c>
      <c r="F8" s="25">
        <f t="shared" si="2"/>
        <v>-2691</v>
      </c>
      <c r="G8" s="25"/>
      <c r="H8" s="444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88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29619</v>
      </c>
      <c r="C9" s="11">
        <v>28499</v>
      </c>
      <c r="D9" s="11">
        <v>29027</v>
      </c>
      <c r="E9" s="11">
        <v>27500</v>
      </c>
      <c r="F9" s="25">
        <f t="shared" si="2"/>
        <v>-2647</v>
      </c>
      <c r="G9" s="25"/>
      <c r="H9" s="444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88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30828</v>
      </c>
      <c r="C10" s="11">
        <v>25000</v>
      </c>
      <c r="D10" s="129">
        <v>31950</v>
      </c>
      <c r="E10" s="11">
        <v>30999</v>
      </c>
      <c r="F10" s="25">
        <f t="shared" si="2"/>
        <v>-6779</v>
      </c>
      <c r="G10" s="25"/>
      <c r="H10" s="444"/>
      <c r="I10" s="14"/>
      <c r="J10" s="14"/>
      <c r="K10" s="14"/>
      <c r="L10" s="388"/>
      <c r="M10" s="15"/>
      <c r="N10" s="15">
        <f>SUM(N5:N9)</f>
        <v>489002.35</v>
      </c>
    </row>
    <row r="11" spans="1:14" x14ac:dyDescent="0.2">
      <c r="A11" s="41">
        <v>8</v>
      </c>
      <c r="B11" s="11">
        <v>30687</v>
      </c>
      <c r="C11" s="11">
        <v>23000</v>
      </c>
      <c r="D11" s="11">
        <v>32614</v>
      </c>
      <c r="E11" s="11">
        <v>32999</v>
      </c>
      <c r="F11" s="25">
        <f t="shared" si="2"/>
        <v>-7302</v>
      </c>
      <c r="G11" s="25"/>
      <c r="H11" s="444"/>
      <c r="I11" s="14"/>
      <c r="J11" s="14"/>
      <c r="K11" s="15"/>
      <c r="L11" s="388"/>
      <c r="M11" s="15"/>
      <c r="N11" s="15">
        <f>SUM(M5:M9)</f>
        <v>489002.35000000003</v>
      </c>
    </row>
    <row r="12" spans="1:14" x14ac:dyDescent="0.2">
      <c r="A12" s="41">
        <v>9</v>
      </c>
      <c r="B12" s="11">
        <v>29910</v>
      </c>
      <c r="C12" s="11">
        <v>23000</v>
      </c>
      <c r="D12" s="11">
        <v>32422</v>
      </c>
      <c r="E12" s="11">
        <v>32999</v>
      </c>
      <c r="F12" s="25">
        <f t="shared" si="2"/>
        <v>-6333</v>
      </c>
      <c r="G12" s="25"/>
      <c r="H12" s="444"/>
      <c r="I12" s="24"/>
      <c r="J12" s="24"/>
      <c r="K12" s="110"/>
      <c r="L12" s="446"/>
      <c r="M12" s="110"/>
    </row>
    <row r="13" spans="1:14" x14ac:dyDescent="0.2">
      <c r="A13" s="41">
        <v>10</v>
      </c>
      <c r="B13" s="129">
        <v>27830</v>
      </c>
      <c r="C13" s="11">
        <v>23000</v>
      </c>
      <c r="D13" s="129">
        <v>31900</v>
      </c>
      <c r="E13" s="11">
        <v>32999</v>
      </c>
      <c r="F13" s="25">
        <f t="shared" si="2"/>
        <v>-3731</v>
      </c>
      <c r="G13" s="25"/>
      <c r="I13" s="24"/>
      <c r="J13" s="24"/>
      <c r="K13" s="24">
        <f>SUM(K4:K12)</f>
        <v>135930</v>
      </c>
      <c r="L13" s="446"/>
      <c r="M13" s="110">
        <f>SUM(M4:M12)</f>
        <v>489002.35000000003</v>
      </c>
    </row>
    <row r="14" spans="1:14" x14ac:dyDescent="0.2">
      <c r="A14" s="41">
        <v>11</v>
      </c>
      <c r="B14" s="11">
        <v>29936</v>
      </c>
      <c r="C14" s="11">
        <v>23000</v>
      </c>
      <c r="D14" s="11">
        <v>31208</v>
      </c>
      <c r="E14" s="11">
        <v>32999</v>
      </c>
      <c r="F14" s="25">
        <f t="shared" si="2"/>
        <v>-5145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306065</v>
      </c>
      <c r="C35" s="11">
        <f>SUM(C4:C34)</f>
        <v>282066</v>
      </c>
      <c r="D35" s="11">
        <f>SUM(D4:D34)</f>
        <v>353553</v>
      </c>
      <c r="E35" s="11">
        <f>SUM(E4:E34)</f>
        <v>360747</v>
      </c>
      <c r="F35" s="11">
        <f>+E35-D35+C35-B35</f>
        <v>-16805</v>
      </c>
    </row>
    <row r="36" spans="1:7" x14ac:dyDescent="0.2">
      <c r="A36" s="45"/>
      <c r="C36" s="14">
        <f>+C35-B35</f>
        <v>-23999</v>
      </c>
      <c r="D36" s="14"/>
      <c r="E36" s="14">
        <f>+E35-D35</f>
        <v>7194</v>
      </c>
      <c r="F36" s="47"/>
    </row>
    <row r="37" spans="1:7" x14ac:dyDescent="0.2">
      <c r="C37" s="15">
        <f>+summary!H4</f>
        <v>2.0299999999999998</v>
      </c>
      <c r="D37" s="15"/>
      <c r="E37" s="15">
        <f>+C37</f>
        <v>2.0299999999999998</v>
      </c>
      <c r="F37" s="24"/>
    </row>
    <row r="38" spans="1:7" x14ac:dyDescent="0.2">
      <c r="C38" s="48">
        <f>+C37*C36</f>
        <v>-48717.969999999994</v>
      </c>
      <c r="D38" s="47"/>
      <c r="E38" s="48">
        <f>+E37*E36</f>
        <v>14603.819999999998</v>
      </c>
      <c r="F38" s="46">
        <f>+E38+C38</f>
        <v>-34114.149999999994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37134</v>
      </c>
      <c r="C40" s="481">
        <v>441786.89</v>
      </c>
      <c r="D40" s="111"/>
      <c r="E40" s="481">
        <v>100794.76</v>
      </c>
      <c r="F40" s="352">
        <f>+E40+C40</f>
        <v>542581.65</v>
      </c>
      <c r="G40" s="25"/>
    </row>
    <row r="41" spans="1:7" x14ac:dyDescent="0.2">
      <c r="A41" s="57">
        <v>37145</v>
      </c>
      <c r="C41" s="106">
        <f>+C40+C38</f>
        <v>393068.92000000004</v>
      </c>
      <c r="D41" s="106"/>
      <c r="E41" s="106">
        <f>+E40+E38</f>
        <v>115398.57999999999</v>
      </c>
      <c r="F41" s="106">
        <f>+E41+C41</f>
        <v>508467.5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75"/>
      <c r="D44" s="11"/>
      <c r="E44" s="11"/>
      <c r="F44" s="11"/>
      <c r="G44" s="25"/>
    </row>
    <row r="45" spans="1:7" x14ac:dyDescent="0.2">
      <c r="A45" s="32" t="s">
        <v>157</v>
      </c>
      <c r="E45" s="11"/>
      <c r="F45" s="11"/>
      <c r="G45" s="25"/>
    </row>
    <row r="46" spans="1:7" x14ac:dyDescent="0.2">
      <c r="A46" s="49">
        <f>+A40</f>
        <v>37134</v>
      </c>
      <c r="D46" s="479">
        <f>36388+33437</f>
        <v>69825</v>
      </c>
      <c r="E46" s="11"/>
      <c r="F46" s="11"/>
      <c r="G46" s="25"/>
    </row>
    <row r="47" spans="1:7" x14ac:dyDescent="0.2">
      <c r="A47" s="49">
        <f>+A41</f>
        <v>37145</v>
      </c>
      <c r="D47" s="377">
        <f>+F35</f>
        <v>-16805</v>
      </c>
      <c r="E47" s="11"/>
      <c r="F47" s="11"/>
      <c r="G47" s="25"/>
    </row>
    <row r="48" spans="1:7" x14ac:dyDescent="0.2">
      <c r="D48" s="14">
        <f>+D47+D46</f>
        <v>53020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3" workbookViewId="3">
      <selection activeCell="E17" sqref="E17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5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5">
      <c r="A5" s="10">
        <v>1</v>
      </c>
      <c r="B5" s="11">
        <v>126397</v>
      </c>
      <c r="C5" s="11">
        <v>140595</v>
      </c>
      <c r="D5" s="11"/>
      <c r="E5" s="11">
        <v>-14918</v>
      </c>
      <c r="F5" s="11">
        <f>+C5+E5-B5-D5</f>
        <v>-720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130730</v>
      </c>
      <c r="C6" s="11">
        <v>150891</v>
      </c>
      <c r="D6" s="11"/>
      <c r="E6" s="11">
        <v>-21381</v>
      </c>
      <c r="F6" s="11">
        <f t="shared" ref="F6:F35" si="2">+C6+E6-B6-D6</f>
        <v>-1220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160915</v>
      </c>
      <c r="C7" s="11">
        <v>162126</v>
      </c>
      <c r="D7" s="11"/>
      <c r="E7" s="11"/>
      <c r="F7" s="11">
        <f t="shared" si="2"/>
        <v>1211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>
        <v>146983</v>
      </c>
      <c r="C8" s="11">
        <v>153572</v>
      </c>
      <c r="D8" s="11"/>
      <c r="E8" s="11">
        <v>-6935</v>
      </c>
      <c r="F8" s="11">
        <f t="shared" si="2"/>
        <v>-346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>
        <v>216615</v>
      </c>
      <c r="C9" s="11">
        <v>215822</v>
      </c>
      <c r="D9" s="11"/>
      <c r="E9" s="11"/>
      <c r="F9" s="11">
        <f t="shared" si="2"/>
        <v>-793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>
        <v>230620</v>
      </c>
      <c r="C10" s="11">
        <v>230676</v>
      </c>
      <c r="D10" s="11"/>
      <c r="E10" s="11"/>
      <c r="F10" s="11">
        <f t="shared" si="2"/>
        <v>56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>
        <v>201058</v>
      </c>
      <c r="C11" s="11">
        <v>210081</v>
      </c>
      <c r="D11" s="11"/>
      <c r="E11" s="11">
        <v>-10154</v>
      </c>
      <c r="F11" s="11">
        <f t="shared" si="2"/>
        <v>-1131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1">
        <v>169372</v>
      </c>
      <c r="C12" s="11">
        <v>171574</v>
      </c>
      <c r="D12" s="11"/>
      <c r="E12" s="11"/>
      <c r="F12" s="11">
        <f t="shared" si="2"/>
        <v>2202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>
        <v>160298</v>
      </c>
      <c r="C13" s="11">
        <v>167233</v>
      </c>
      <c r="D13" s="11"/>
      <c r="E13" s="11">
        <v>-7013</v>
      </c>
      <c r="F13" s="11">
        <f t="shared" si="2"/>
        <v>-78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>
        <v>159930</v>
      </c>
      <c r="C14" s="11">
        <v>171029</v>
      </c>
      <c r="D14" s="11"/>
      <c r="E14" s="11">
        <v>-10981</v>
      </c>
      <c r="F14" s="11">
        <f t="shared" si="2"/>
        <v>118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>
        <v>169213</v>
      </c>
      <c r="C15" s="11">
        <v>169874</v>
      </c>
      <c r="D15" s="11"/>
      <c r="E15" s="11">
        <v>-2245</v>
      </c>
      <c r="F15" s="11">
        <f t="shared" si="2"/>
        <v>-1584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>
        <v>147925</v>
      </c>
      <c r="C16" s="11">
        <v>156137</v>
      </c>
      <c r="D16" s="11"/>
      <c r="E16" s="11">
        <v>-8994</v>
      </c>
      <c r="F16" s="11">
        <f t="shared" si="2"/>
        <v>-782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1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2020056</v>
      </c>
      <c r="C36" s="11">
        <f>SUM(C5:C35)</f>
        <v>2099610</v>
      </c>
      <c r="D36" s="11">
        <f>SUM(D5:D35)</f>
        <v>0</v>
      </c>
      <c r="E36" s="11">
        <f>SUM(E5:E35)</f>
        <v>-82621</v>
      </c>
      <c r="F36" s="11">
        <f>SUM(F5:F35)</f>
        <v>-3067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37134</v>
      </c>
      <c r="F39" s="438">
        <v>70132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37146</v>
      </c>
      <c r="F41" s="353">
        <f>+F39+F36</f>
        <v>67065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32" t="s">
        <v>158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49">
        <f>+B39</f>
        <v>37134</v>
      </c>
      <c r="C47" s="32"/>
      <c r="D47" s="32"/>
      <c r="E47" s="437">
        <v>-318064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49">
        <f>+B41</f>
        <v>37146</v>
      </c>
      <c r="C48" s="32"/>
      <c r="D48" s="32"/>
      <c r="E48" s="406">
        <f>+F36*'by type_area'!J3</f>
        <v>-5949.98</v>
      </c>
      <c r="F48" s="11"/>
      <c r="M48" s="17"/>
      <c r="S48" s="19"/>
    </row>
    <row r="49" spans="1:13" x14ac:dyDescent="0.25">
      <c r="A49" s="10"/>
      <c r="B49" s="32"/>
      <c r="C49" s="32"/>
      <c r="D49" s="32"/>
      <c r="E49" s="202">
        <f>+E48+E47</f>
        <v>-324013.98</v>
      </c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31" workbookViewId="3">
      <selection activeCell="C42" sqref="C42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74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101561</v>
      </c>
      <c r="C8" s="11">
        <v>99387</v>
      </c>
      <c r="D8" s="11">
        <f>+C8-B8</f>
        <v>-2174</v>
      </c>
      <c r="E8" s="10"/>
      <c r="F8" s="11"/>
      <c r="G8" s="11"/>
      <c r="H8" s="11"/>
    </row>
    <row r="9" spans="1:8" x14ac:dyDescent="0.25">
      <c r="A9" s="10">
        <v>2</v>
      </c>
      <c r="B9" s="11">
        <v>104070</v>
      </c>
      <c r="C9" s="11">
        <v>104668</v>
      </c>
      <c r="D9" s="11">
        <f t="shared" ref="D9:D38" si="0">+C9-B9</f>
        <v>598</v>
      </c>
      <c r="E9" s="10"/>
      <c r="F9" s="11"/>
      <c r="G9" s="11"/>
      <c r="H9" s="11"/>
    </row>
    <row r="10" spans="1:8" x14ac:dyDescent="0.25">
      <c r="A10" s="10">
        <v>3</v>
      </c>
      <c r="B10" s="11">
        <v>102908</v>
      </c>
      <c r="C10" s="11">
        <v>102434</v>
      </c>
      <c r="D10" s="11">
        <f t="shared" si="0"/>
        <v>-474</v>
      </c>
      <c r="E10" s="10"/>
      <c r="F10" s="11"/>
      <c r="G10" s="11"/>
      <c r="H10" s="11"/>
    </row>
    <row r="11" spans="1:8" x14ac:dyDescent="0.25">
      <c r="A11" s="10">
        <v>4</v>
      </c>
      <c r="B11" s="11">
        <v>84773</v>
      </c>
      <c r="C11" s="11">
        <v>83676</v>
      </c>
      <c r="D11" s="11">
        <f t="shared" si="0"/>
        <v>-1097</v>
      </c>
      <c r="E11" s="10"/>
      <c r="F11" s="11"/>
      <c r="G11" s="11"/>
      <c r="H11" s="11"/>
    </row>
    <row r="12" spans="1:8" x14ac:dyDescent="0.25">
      <c r="A12" s="10">
        <v>5</v>
      </c>
      <c r="B12" s="11">
        <v>70058</v>
      </c>
      <c r="C12" s="11">
        <v>70461</v>
      </c>
      <c r="D12" s="11">
        <f t="shared" si="0"/>
        <v>403</v>
      </c>
      <c r="E12" s="10"/>
      <c r="F12" s="11"/>
      <c r="G12" s="11"/>
      <c r="H12" s="11"/>
    </row>
    <row r="13" spans="1:8" x14ac:dyDescent="0.25">
      <c r="A13" s="10">
        <v>6</v>
      </c>
      <c r="B13" s="11">
        <v>93868</v>
      </c>
      <c r="C13" s="11">
        <v>93801</v>
      </c>
      <c r="D13" s="11">
        <f t="shared" si="0"/>
        <v>-67</v>
      </c>
      <c r="E13" s="10"/>
      <c r="F13" s="11"/>
      <c r="G13" s="11"/>
      <c r="H13" s="11"/>
    </row>
    <row r="14" spans="1:8" x14ac:dyDescent="0.25">
      <c r="A14" s="10">
        <v>7</v>
      </c>
      <c r="B14" s="11">
        <v>91997</v>
      </c>
      <c r="C14" s="11">
        <v>92787</v>
      </c>
      <c r="D14" s="11">
        <f t="shared" si="0"/>
        <v>790</v>
      </c>
      <c r="E14" s="10"/>
      <c r="F14" s="11"/>
      <c r="G14" s="11"/>
      <c r="H14" s="11"/>
    </row>
    <row r="15" spans="1:8" x14ac:dyDescent="0.25">
      <c r="A15" s="10">
        <v>8</v>
      </c>
      <c r="B15" s="11">
        <v>92287</v>
      </c>
      <c r="C15" s="11">
        <v>91788</v>
      </c>
      <c r="D15" s="11">
        <f t="shared" si="0"/>
        <v>-499</v>
      </c>
      <c r="E15" s="10"/>
      <c r="F15" s="11"/>
      <c r="G15" s="11"/>
      <c r="H15" s="11"/>
    </row>
    <row r="16" spans="1:8" x14ac:dyDescent="0.25">
      <c r="A16" s="10">
        <v>9</v>
      </c>
      <c r="B16" s="11">
        <v>92020</v>
      </c>
      <c r="C16" s="11">
        <v>91755</v>
      </c>
      <c r="D16" s="11">
        <f t="shared" si="0"/>
        <v>-265</v>
      </c>
      <c r="E16" s="10"/>
      <c r="F16" s="11"/>
      <c r="G16" s="11"/>
      <c r="H16" s="11"/>
    </row>
    <row r="17" spans="1:8" x14ac:dyDescent="0.25">
      <c r="A17" s="10">
        <v>10</v>
      </c>
      <c r="B17" s="11">
        <v>92001</v>
      </c>
      <c r="C17" s="11">
        <v>91755</v>
      </c>
      <c r="D17" s="11">
        <f t="shared" si="0"/>
        <v>-246</v>
      </c>
      <c r="E17" s="10"/>
      <c r="F17" s="11"/>
      <c r="G17" s="11"/>
      <c r="H17" s="11"/>
    </row>
    <row r="18" spans="1:8" x14ac:dyDescent="0.25">
      <c r="A18" s="10">
        <v>11</v>
      </c>
      <c r="B18" s="11">
        <v>106982</v>
      </c>
      <c r="C18" s="11">
        <v>105491</v>
      </c>
      <c r="D18" s="11">
        <f t="shared" si="0"/>
        <v>-1491</v>
      </c>
      <c r="E18" s="10"/>
      <c r="F18" s="11"/>
      <c r="G18" s="11"/>
      <c r="H18" s="11"/>
    </row>
    <row r="19" spans="1:8" x14ac:dyDescent="0.25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5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5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5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5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5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5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5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5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5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5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08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1032525</v>
      </c>
      <c r="C39" s="11">
        <f>SUM(C8:C38)</f>
        <v>1028003</v>
      </c>
      <c r="D39" s="11">
        <f>SUM(D8:D38)</f>
        <v>-4522</v>
      </c>
      <c r="E39" s="10"/>
      <c r="F39" s="11"/>
      <c r="G39" s="11"/>
      <c r="H39" s="11"/>
    </row>
    <row r="40" spans="1:8" x14ac:dyDescent="0.25">
      <c r="A40" s="26"/>
      <c r="D40" s="75">
        <f>+summary!H4</f>
        <v>2.0299999999999998</v>
      </c>
      <c r="E40" s="26"/>
      <c r="H40" s="75"/>
    </row>
    <row r="41" spans="1:8" x14ac:dyDescent="0.25">
      <c r="D41" s="197">
        <f>+D40*D39</f>
        <v>-9179.66</v>
      </c>
      <c r="F41" s="252"/>
      <c r="H41" s="197"/>
    </row>
    <row r="42" spans="1:8" x14ac:dyDescent="0.25">
      <c r="A42" s="57">
        <v>37134</v>
      </c>
      <c r="D42" s="493">
        <v>40812.85</v>
      </c>
      <c r="E42" s="57"/>
      <c r="H42" s="197"/>
    </row>
    <row r="43" spans="1:8" x14ac:dyDescent="0.25">
      <c r="A43" s="57">
        <v>37145</v>
      </c>
      <c r="D43" s="198">
        <f>+D42+D41</f>
        <v>31633.19</v>
      </c>
      <c r="E43" s="57"/>
      <c r="H43" s="198"/>
    </row>
    <row r="44" spans="1:8" x14ac:dyDescent="0.25">
      <c r="D44" s="199"/>
      <c r="E44" s="15"/>
      <c r="F44" s="138"/>
    </row>
    <row r="45" spans="1:8" x14ac:dyDescent="0.25">
      <c r="D45" s="32"/>
    </row>
    <row r="47" spans="1:8" x14ac:dyDescent="0.25">
      <c r="A47" s="32" t="s">
        <v>157</v>
      </c>
      <c r="B47" s="32"/>
      <c r="C47" s="32"/>
      <c r="D47" s="32"/>
    </row>
    <row r="48" spans="1:8" x14ac:dyDescent="0.25">
      <c r="A48" s="49">
        <f>+A42</f>
        <v>37134</v>
      </c>
      <c r="B48" s="32"/>
      <c r="C48" s="32"/>
      <c r="D48" s="477">
        <v>-36540</v>
      </c>
    </row>
    <row r="49" spans="1:4" x14ac:dyDescent="0.25">
      <c r="A49" s="49">
        <f>+A43</f>
        <v>37145</v>
      </c>
      <c r="B49" s="32"/>
      <c r="C49" s="32"/>
      <c r="D49" s="377">
        <f>+D39</f>
        <v>-4522</v>
      </c>
    </row>
    <row r="50" spans="1:4" x14ac:dyDescent="0.25">
      <c r="A50" s="32"/>
      <c r="B50" s="32"/>
      <c r="C50" s="32"/>
      <c r="D50" s="14">
        <f>+D49+D48</f>
        <v>-41062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6"/>
  <sheetViews>
    <sheetView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workbookViewId="3">
      <selection activeCell="C7" sqref="C7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1.44140625" style="32" bestFit="1" customWidth="1"/>
    <col min="4" max="4" width="10.109375" style="32" bestFit="1" customWidth="1"/>
    <col min="5" max="5" width="11.6640625" style="32" bestFit="1" customWidth="1"/>
    <col min="6" max="7" width="7.6640625" bestFit="1" customWidth="1"/>
    <col min="8" max="8" width="10" bestFit="1" customWidth="1"/>
    <col min="9" max="9" width="11.33203125" bestFit="1" customWidth="1"/>
  </cols>
  <sheetData>
    <row r="2" spans="1:10" x14ac:dyDescent="0.25">
      <c r="A2" s="2" t="s">
        <v>96</v>
      </c>
      <c r="G2" s="32"/>
      <c r="H2" s="15"/>
      <c r="I2" s="32"/>
      <c r="J2" s="32"/>
    </row>
    <row r="3" spans="1:10" x14ac:dyDescent="0.25">
      <c r="A3" s="2" t="s">
        <v>75</v>
      </c>
      <c r="G3" s="32"/>
      <c r="H3" s="15"/>
      <c r="I3" s="32"/>
      <c r="J3" s="32"/>
    </row>
    <row r="4" spans="1:10" x14ac:dyDescent="0.25">
      <c r="G4" s="32"/>
      <c r="H4" s="15"/>
      <c r="I4" s="32"/>
      <c r="J4" s="32"/>
    </row>
    <row r="5" spans="1:10" x14ac:dyDescent="0.25">
      <c r="A5" s="266">
        <v>37134</v>
      </c>
      <c r="C5" s="487">
        <v>1328416.6399999999</v>
      </c>
      <c r="E5" s="15"/>
      <c r="G5" s="32"/>
      <c r="H5" s="15"/>
      <c r="I5" s="32"/>
      <c r="J5" s="32"/>
    </row>
    <row r="6" spans="1:10" x14ac:dyDescent="0.25">
      <c r="G6" s="32"/>
      <c r="H6" s="15"/>
      <c r="I6" s="32"/>
      <c r="J6" s="32"/>
    </row>
    <row r="7" spans="1:10" x14ac:dyDescent="0.25">
      <c r="A7" s="57">
        <v>37142</v>
      </c>
      <c r="J7" s="32"/>
    </row>
    <row r="8" spans="1:10" x14ac:dyDescent="0.25">
      <c r="A8" s="253">
        <v>60874</v>
      </c>
      <c r="B8" s="361">
        <v>1363</v>
      </c>
      <c r="J8" s="32"/>
    </row>
    <row r="9" spans="1:10" x14ac:dyDescent="0.25">
      <c r="A9" s="253">
        <v>78169</v>
      </c>
      <c r="B9" s="361"/>
      <c r="J9" s="32"/>
    </row>
    <row r="10" spans="1:10" x14ac:dyDescent="0.25">
      <c r="A10" s="32">
        <v>500235</v>
      </c>
      <c r="B10" s="14"/>
      <c r="J10" s="32"/>
    </row>
    <row r="11" spans="1:10" x14ac:dyDescent="0.25">
      <c r="A11" s="253">
        <v>500248</v>
      </c>
      <c r="B11" s="363"/>
      <c r="J11" s="32"/>
    </row>
    <row r="12" spans="1:10" x14ac:dyDescent="0.25">
      <c r="A12" s="253">
        <v>500251</v>
      </c>
      <c r="B12" s="332">
        <f>4240-3893</f>
        <v>347</v>
      </c>
      <c r="J12" s="32"/>
    </row>
    <row r="13" spans="1:10" x14ac:dyDescent="0.25">
      <c r="A13" s="253">
        <v>500254</v>
      </c>
      <c r="B13" s="332">
        <f>960-992</f>
        <v>-32</v>
      </c>
      <c r="J13" s="32"/>
    </row>
    <row r="14" spans="1:10" x14ac:dyDescent="0.25">
      <c r="A14" s="32">
        <v>500255</v>
      </c>
      <c r="B14" s="332">
        <f>4800-4116</f>
        <v>684</v>
      </c>
      <c r="J14" s="32"/>
    </row>
    <row r="15" spans="1:10" x14ac:dyDescent="0.25">
      <c r="A15" s="32">
        <v>500262</v>
      </c>
      <c r="B15" s="332">
        <f>2080-1983</f>
        <v>97</v>
      </c>
      <c r="J15" s="32"/>
    </row>
    <row r="16" spans="1:10" x14ac:dyDescent="0.25">
      <c r="A16" s="290">
        <v>500267</v>
      </c>
      <c r="B16" s="362">
        <f>427557-443466</f>
        <v>-15909</v>
      </c>
      <c r="J16" s="32"/>
    </row>
    <row r="17" spans="1:10" x14ac:dyDescent="0.25">
      <c r="B17" s="14">
        <f>SUM(B8:B16)</f>
        <v>-13450</v>
      </c>
      <c r="J17" s="32"/>
    </row>
    <row r="18" spans="1:10" x14ac:dyDescent="0.25">
      <c r="B18" s="15">
        <f>+B31</f>
        <v>2.0299999999999998</v>
      </c>
      <c r="C18" s="201">
        <f>+B18*B17</f>
        <v>-27303.499999999996</v>
      </c>
      <c r="G18" s="32"/>
      <c r="H18" s="411"/>
      <c r="I18" s="14"/>
      <c r="J18" s="32"/>
    </row>
    <row r="19" spans="1:10" x14ac:dyDescent="0.25">
      <c r="C19" s="339">
        <f>+C18+C5</f>
        <v>1301113.1399999999</v>
      </c>
      <c r="E19" s="15"/>
      <c r="G19" s="32"/>
      <c r="H19" s="411"/>
      <c r="I19" s="14"/>
      <c r="J19" s="32"/>
    </row>
    <row r="20" spans="1:10" x14ac:dyDescent="0.25">
      <c r="E20" s="15"/>
      <c r="G20" s="32"/>
      <c r="H20" s="411"/>
      <c r="I20" s="14"/>
      <c r="J20" s="32"/>
    </row>
    <row r="21" spans="1:10" x14ac:dyDescent="0.25">
      <c r="A21" s="32" t="s">
        <v>89</v>
      </c>
      <c r="G21" s="32"/>
      <c r="H21" s="411"/>
      <c r="I21" s="14"/>
      <c r="J21" s="32"/>
    </row>
    <row r="22" spans="1:10" x14ac:dyDescent="0.25">
      <c r="A22" s="2" t="s">
        <v>76</v>
      </c>
      <c r="G22" s="32"/>
      <c r="H22" s="411"/>
      <c r="I22" s="14"/>
      <c r="J22" s="32"/>
    </row>
    <row r="23" spans="1:10" x14ac:dyDescent="0.25">
      <c r="G23" s="32"/>
      <c r="H23" s="411"/>
      <c r="I23" s="14"/>
      <c r="J23" s="32"/>
    </row>
    <row r="24" spans="1:10" x14ac:dyDescent="0.25">
      <c r="G24" s="32"/>
      <c r="H24" s="411"/>
      <c r="I24" s="14"/>
      <c r="J24" s="32"/>
    </row>
    <row r="25" spans="1:10" x14ac:dyDescent="0.25">
      <c r="A25" s="200">
        <v>37134</v>
      </c>
      <c r="C25" s="487">
        <v>275313.71999999997</v>
      </c>
      <c r="G25" s="32"/>
      <c r="H25" s="15"/>
      <c r="I25" s="14"/>
      <c r="J25" s="32"/>
    </row>
    <row r="26" spans="1:10" x14ac:dyDescent="0.25">
      <c r="F26" s="267"/>
      <c r="G26" s="32"/>
      <c r="H26" s="15"/>
      <c r="I26" s="32"/>
      <c r="J26" s="32"/>
    </row>
    <row r="27" spans="1:10" x14ac:dyDescent="0.25">
      <c r="A27" s="57">
        <v>37142</v>
      </c>
      <c r="G27" s="32"/>
      <c r="H27" s="15"/>
      <c r="I27" s="32"/>
      <c r="J27" s="32"/>
    </row>
    <row r="28" spans="1:10" x14ac:dyDescent="0.25">
      <c r="A28" s="32">
        <v>9164</v>
      </c>
      <c r="B28" s="212"/>
      <c r="G28" s="32"/>
      <c r="H28" s="15"/>
      <c r="I28" s="32"/>
      <c r="J28" s="32"/>
    </row>
    <row r="29" spans="1:10" x14ac:dyDescent="0.25">
      <c r="A29" s="32">
        <v>9167</v>
      </c>
      <c r="B29" s="212"/>
    </row>
    <row r="30" spans="1:10" x14ac:dyDescent="0.25">
      <c r="B30" s="14">
        <f>+B29+B28</f>
        <v>0</v>
      </c>
    </row>
    <row r="31" spans="1:10" x14ac:dyDescent="0.25">
      <c r="B31" s="15">
        <f>+summary!H4</f>
        <v>2.0299999999999998</v>
      </c>
      <c r="C31" s="201">
        <f>+B31*B30</f>
        <v>0</v>
      </c>
    </row>
    <row r="32" spans="1:10" x14ac:dyDescent="0.25">
      <c r="C32" s="339">
        <f>+C31+C25</f>
        <v>275313.71999999997</v>
      </c>
      <c r="E32" s="15"/>
    </row>
    <row r="34" spans="1:9" x14ac:dyDescent="0.25">
      <c r="E34" s="272"/>
    </row>
    <row r="35" spans="1:9" x14ac:dyDescent="0.25">
      <c r="E35" s="15"/>
    </row>
    <row r="36" spans="1:9" x14ac:dyDescent="0.25">
      <c r="A36" s="32" t="s">
        <v>89</v>
      </c>
      <c r="E36" s="32" t="s">
        <v>157</v>
      </c>
      <c r="F36" s="379">
        <v>24268</v>
      </c>
      <c r="G36" s="379">
        <v>24693</v>
      </c>
      <c r="H36" s="379">
        <v>24361</v>
      </c>
    </row>
    <row r="37" spans="1:9" x14ac:dyDescent="0.25">
      <c r="A37" s="32" t="s">
        <v>77</v>
      </c>
      <c r="E37" s="49">
        <f>+A5</f>
        <v>37134</v>
      </c>
      <c r="F37" s="477">
        <v>281142</v>
      </c>
      <c r="G37" s="488">
        <v>117857</v>
      </c>
      <c r="H37" s="477">
        <v>148659</v>
      </c>
      <c r="I37" s="14"/>
    </row>
    <row r="38" spans="1:9" x14ac:dyDescent="0.25">
      <c r="E38" s="49">
        <f>+A7</f>
        <v>37142</v>
      </c>
      <c r="F38" s="377">
        <f>+B17</f>
        <v>-13450</v>
      </c>
      <c r="G38" s="377">
        <f>+B30</f>
        <v>0</v>
      </c>
      <c r="H38" s="377">
        <f>+B45</f>
        <v>3215</v>
      </c>
      <c r="I38" s="14"/>
    </row>
    <row r="39" spans="1:9" x14ac:dyDescent="0.25">
      <c r="A39" s="49">
        <v>37134</v>
      </c>
      <c r="C39" s="487">
        <v>760779.86</v>
      </c>
      <c r="F39" s="14">
        <f>+F38+F37</f>
        <v>267692</v>
      </c>
      <c r="G39" s="14">
        <f>+G38+G37</f>
        <v>117857</v>
      </c>
      <c r="H39" s="14">
        <f>+H38+H37</f>
        <v>151874</v>
      </c>
      <c r="I39" s="14">
        <f>+H39+G39+F39</f>
        <v>537423</v>
      </c>
    </row>
    <row r="40" spans="1:9" x14ac:dyDescent="0.25">
      <c r="G40" s="32"/>
      <c r="H40" s="15"/>
      <c r="I40" s="32"/>
    </row>
    <row r="41" spans="1:9" x14ac:dyDescent="0.25">
      <c r="A41" s="249">
        <v>37144</v>
      </c>
      <c r="G41" s="32"/>
    </row>
    <row r="42" spans="1:9" x14ac:dyDescent="0.25">
      <c r="A42" s="253">
        <v>500241</v>
      </c>
      <c r="B42" s="14"/>
      <c r="G42" s="32"/>
    </row>
    <row r="43" spans="1:9" x14ac:dyDescent="0.25">
      <c r="A43" s="32">
        <v>500391</v>
      </c>
      <c r="B43" s="212">
        <v>2488</v>
      </c>
      <c r="G43" s="32"/>
      <c r="H43" s="412"/>
      <c r="I43" s="14"/>
    </row>
    <row r="44" spans="1:9" x14ac:dyDescent="0.25">
      <c r="A44" s="32">
        <v>500392</v>
      </c>
      <c r="B44" s="257">
        <v>727</v>
      </c>
      <c r="G44" s="32"/>
      <c r="H44" s="412"/>
      <c r="I44" s="14"/>
    </row>
    <row r="45" spans="1:9" x14ac:dyDescent="0.25">
      <c r="B45" s="14">
        <f>SUM(B42:B44)</f>
        <v>3215</v>
      </c>
      <c r="G45" s="32"/>
      <c r="H45" s="412"/>
      <c r="I45" s="14"/>
    </row>
    <row r="46" spans="1:9" x14ac:dyDescent="0.25">
      <c r="B46" s="201">
        <f>+B31</f>
        <v>2.0299999999999998</v>
      </c>
      <c r="C46" s="201">
        <f>+B46*B45</f>
        <v>6526.45</v>
      </c>
      <c r="H46" s="412"/>
      <c r="I46" s="14"/>
    </row>
    <row r="47" spans="1:9" x14ac:dyDescent="0.25">
      <c r="C47" s="339">
        <f>+C46+C39</f>
        <v>767306.30999999994</v>
      </c>
      <c r="E47" s="206"/>
      <c r="H47" s="412"/>
      <c r="I47" s="14"/>
    </row>
    <row r="48" spans="1:9" x14ac:dyDescent="0.25">
      <c r="E48" s="216"/>
      <c r="H48" s="412"/>
      <c r="I48" s="14"/>
    </row>
    <row r="49" spans="1:9" x14ac:dyDescent="0.25">
      <c r="E49" s="206"/>
      <c r="H49" s="412"/>
      <c r="I49" s="14"/>
    </row>
    <row r="50" spans="1:9" x14ac:dyDescent="0.25">
      <c r="C50" s="324"/>
      <c r="E50" s="216"/>
    </row>
    <row r="51" spans="1:9" x14ac:dyDescent="0.25">
      <c r="A51" s="32" t="s">
        <v>89</v>
      </c>
      <c r="C51" s="254"/>
    </row>
    <row r="52" spans="1:9" x14ac:dyDescent="0.25">
      <c r="A52" s="32">
        <v>21665</v>
      </c>
      <c r="B52" s="15" t="s">
        <v>142</v>
      </c>
      <c r="C52" s="485">
        <v>73449.16</v>
      </c>
      <c r="D52" s="32" t="s">
        <v>123</v>
      </c>
      <c r="E52" s="50"/>
      <c r="H52" s="412">
        <v>21665</v>
      </c>
      <c r="I52" s="14">
        <v>36403</v>
      </c>
    </row>
    <row r="53" spans="1:9" x14ac:dyDescent="0.25">
      <c r="A53" s="32">
        <v>22664</v>
      </c>
      <c r="B53" s="15" t="s">
        <v>142</v>
      </c>
      <c r="C53" s="486">
        <v>23612.35</v>
      </c>
      <c r="D53" s="32" t="s">
        <v>124</v>
      </c>
      <c r="H53" s="412">
        <v>22664</v>
      </c>
      <c r="I53" s="208">
        <v>18932</v>
      </c>
    </row>
    <row r="54" spans="1:9" x14ac:dyDescent="0.25">
      <c r="H54" s="413"/>
      <c r="I54" s="16"/>
    </row>
    <row r="55" spans="1:9" x14ac:dyDescent="0.25">
      <c r="C55" s="459"/>
    </row>
    <row r="56" spans="1:9" x14ac:dyDescent="0.25">
      <c r="C56" s="331">
        <f>+C53+C52+C47+C32+C19</f>
        <v>2440794.6799999997</v>
      </c>
      <c r="I56" s="14">
        <f>SUM(I39:I53)</f>
        <v>592758</v>
      </c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C31" workbookViewId="3">
      <selection activeCell="F44" sqref="F44"/>
    </sheetView>
  </sheetViews>
  <sheetFormatPr defaultRowHeight="13.2" x14ac:dyDescent="0.25"/>
  <cols>
    <col min="3" max="3" width="9.88671875" bestFit="1" customWidth="1"/>
    <col min="5" max="5" width="9.88671875" bestFit="1" customWidth="1"/>
    <col min="6" max="6" width="12" bestFit="1" customWidth="1"/>
    <col min="7" max="7" width="9.5546875" bestFit="1" customWidth="1"/>
    <col min="8" max="8" width="12" bestFit="1" customWidth="1"/>
    <col min="9" max="9" width="12.6640625" customWidth="1"/>
    <col min="11" max="11" width="9.5546875" bestFit="1" customWidth="1"/>
    <col min="13" max="13" width="10.88671875" bestFit="1" customWidth="1"/>
  </cols>
  <sheetData>
    <row r="1" spans="1:10" x14ac:dyDescent="0.25">
      <c r="A1" s="54"/>
      <c r="B1" s="328">
        <v>23995</v>
      </c>
      <c r="C1" s="235"/>
      <c r="D1" s="327">
        <v>22051</v>
      </c>
      <c r="F1" s="2"/>
      <c r="H1" s="118"/>
    </row>
    <row r="2" spans="1:10" x14ac:dyDescent="0.25">
      <c r="B2" s="12">
        <v>59687</v>
      </c>
      <c r="D2" s="12">
        <v>10703</v>
      </c>
      <c r="E2" s="4"/>
      <c r="F2" s="12"/>
      <c r="G2" s="4"/>
    </row>
    <row r="3" spans="1:10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194</v>
      </c>
      <c r="G3" s="6"/>
      <c r="H3" s="115"/>
    </row>
    <row r="4" spans="1:10" x14ac:dyDescent="0.25">
      <c r="A4" s="10">
        <v>1</v>
      </c>
      <c r="B4" s="11"/>
      <c r="C4" s="11"/>
      <c r="D4" s="11">
        <v>25469</v>
      </c>
      <c r="E4" s="11">
        <v>23994</v>
      </c>
      <c r="F4" s="11">
        <f>+E4+C4-D4-B4</f>
        <v>-1475</v>
      </c>
      <c r="G4" s="11"/>
      <c r="I4" s="11"/>
      <c r="J4" s="24"/>
    </row>
    <row r="5" spans="1:10" x14ac:dyDescent="0.25">
      <c r="A5" s="10">
        <v>2</v>
      </c>
      <c r="B5" s="11"/>
      <c r="C5" s="11"/>
      <c r="D5" s="11">
        <v>24784</v>
      </c>
      <c r="E5" s="11">
        <v>22824</v>
      </c>
      <c r="F5" s="11">
        <f t="shared" ref="F5:F34" si="0">+E5+C5-D5-B5</f>
        <v>-1960</v>
      </c>
      <c r="G5" s="11"/>
      <c r="I5" s="11"/>
      <c r="J5" s="24"/>
    </row>
    <row r="6" spans="1:10" x14ac:dyDescent="0.25">
      <c r="A6" s="10">
        <v>3</v>
      </c>
      <c r="B6" s="11"/>
      <c r="C6" s="11"/>
      <c r="D6" s="129">
        <v>25183</v>
      </c>
      <c r="E6" s="11">
        <v>23383</v>
      </c>
      <c r="F6" s="11">
        <f t="shared" si="0"/>
        <v>-1800</v>
      </c>
      <c r="G6" s="11"/>
      <c r="I6" s="11"/>
      <c r="J6" s="24"/>
    </row>
    <row r="7" spans="1:10" x14ac:dyDescent="0.25">
      <c r="A7" s="10">
        <v>4</v>
      </c>
      <c r="B7" s="11"/>
      <c r="C7" s="11"/>
      <c r="D7" s="129">
        <v>24557</v>
      </c>
      <c r="E7" s="11">
        <v>24000</v>
      </c>
      <c r="F7" s="11">
        <f t="shared" si="0"/>
        <v>-557</v>
      </c>
      <c r="G7" s="11"/>
      <c r="I7" s="11"/>
      <c r="J7" s="24"/>
    </row>
    <row r="8" spans="1:10" x14ac:dyDescent="0.25">
      <c r="A8" s="10">
        <v>5</v>
      </c>
      <c r="B8" s="11"/>
      <c r="C8" s="11"/>
      <c r="D8" s="11">
        <v>24078</v>
      </c>
      <c r="E8" s="11">
        <v>24000</v>
      </c>
      <c r="F8" s="11">
        <f t="shared" si="0"/>
        <v>-78</v>
      </c>
      <c r="G8" s="11"/>
      <c r="I8" s="11"/>
      <c r="J8" s="24"/>
    </row>
    <row r="9" spans="1:10" x14ac:dyDescent="0.25">
      <c r="A9" s="10">
        <v>6</v>
      </c>
      <c r="B9" s="11">
        <v>458</v>
      </c>
      <c r="C9" s="11"/>
      <c r="D9" s="11">
        <v>24837</v>
      </c>
      <c r="E9" s="11">
        <v>24000</v>
      </c>
      <c r="F9" s="11">
        <f t="shared" si="0"/>
        <v>-1295</v>
      </c>
      <c r="G9" s="11"/>
      <c r="I9" s="11"/>
      <c r="J9" s="24"/>
    </row>
    <row r="10" spans="1:10" x14ac:dyDescent="0.25">
      <c r="A10" s="10">
        <v>7</v>
      </c>
      <c r="B10" s="11">
        <v>2841</v>
      </c>
      <c r="C10" s="11"/>
      <c r="D10" s="11">
        <v>24858</v>
      </c>
      <c r="E10" s="11">
        <v>24000</v>
      </c>
      <c r="F10" s="11">
        <f t="shared" si="0"/>
        <v>-3699</v>
      </c>
      <c r="G10" s="11"/>
      <c r="I10" s="11"/>
      <c r="J10" s="24"/>
    </row>
    <row r="11" spans="1:10" x14ac:dyDescent="0.25">
      <c r="A11" s="10">
        <v>8</v>
      </c>
      <c r="B11" s="11">
        <v>4785</v>
      </c>
      <c r="C11" s="11"/>
      <c r="D11" s="11">
        <v>24955</v>
      </c>
      <c r="E11" s="11">
        <v>24000</v>
      </c>
      <c r="F11" s="11">
        <f t="shared" si="0"/>
        <v>-5740</v>
      </c>
      <c r="G11" s="11"/>
      <c r="I11" s="11"/>
      <c r="J11" s="24"/>
    </row>
    <row r="12" spans="1:10" x14ac:dyDescent="0.25">
      <c r="A12" s="10">
        <v>9</v>
      </c>
      <c r="B12" s="11">
        <v>3622</v>
      </c>
      <c r="C12" s="11"/>
      <c r="D12" s="11">
        <v>24838</v>
      </c>
      <c r="E12" s="11">
        <v>24000</v>
      </c>
      <c r="F12" s="11">
        <f t="shared" si="0"/>
        <v>-4460</v>
      </c>
      <c r="G12" s="11"/>
      <c r="I12" s="11"/>
      <c r="J12" s="24"/>
    </row>
    <row r="13" spans="1:10" x14ac:dyDescent="0.25">
      <c r="A13" s="10">
        <v>10</v>
      </c>
      <c r="B13" s="11">
        <v>1852</v>
      </c>
      <c r="C13" s="11"/>
      <c r="D13" s="11">
        <v>24699</v>
      </c>
      <c r="E13" s="11">
        <v>24000</v>
      </c>
      <c r="F13" s="11">
        <f t="shared" si="0"/>
        <v>-2551</v>
      </c>
      <c r="G13" s="11"/>
      <c r="I13" s="11"/>
      <c r="J13" s="24"/>
    </row>
    <row r="14" spans="1:10" x14ac:dyDescent="0.25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5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5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5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5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5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5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5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5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5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5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5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5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5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5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5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157</v>
      </c>
      <c r="I33" s="379">
        <v>23995</v>
      </c>
      <c r="J33" s="379">
        <v>22051</v>
      </c>
      <c r="K33" s="379"/>
    </row>
    <row r="34" spans="1:13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37134</v>
      </c>
      <c r="I34" s="477">
        <v>-178485</v>
      </c>
      <c r="J34" s="477">
        <v>-46545</v>
      </c>
      <c r="K34" s="14"/>
      <c r="L34" s="14"/>
    </row>
    <row r="35" spans="1:13" x14ac:dyDescent="0.25">
      <c r="A35" s="10"/>
      <c r="B35" s="11">
        <f>SUM(B4:B34)</f>
        <v>13558</v>
      </c>
      <c r="C35" s="11">
        <f>SUM(C4:C34)</f>
        <v>0</v>
      </c>
      <c r="D35" s="11">
        <f>SUM(D4:D34)</f>
        <v>248258</v>
      </c>
      <c r="E35" s="11">
        <f>SUM(E4:E34)</f>
        <v>238201</v>
      </c>
      <c r="F35" s="11">
        <f>SUM(F4:F34)</f>
        <v>-23615</v>
      </c>
      <c r="G35" s="11"/>
      <c r="H35" s="49">
        <f>+A40</f>
        <v>37144</v>
      </c>
      <c r="I35" s="377">
        <f>+C36</f>
        <v>-13558</v>
      </c>
      <c r="J35" s="377">
        <f>+E36</f>
        <v>-10057</v>
      </c>
      <c r="K35" s="208"/>
      <c r="L35" s="14"/>
    </row>
    <row r="36" spans="1:13" x14ac:dyDescent="0.25">
      <c r="C36" s="25">
        <f>+C35-B35</f>
        <v>-13558</v>
      </c>
      <c r="E36" s="25">
        <f>+E35-D35</f>
        <v>-10057</v>
      </c>
      <c r="F36" s="25">
        <f>+E36+C36</f>
        <v>-23615</v>
      </c>
      <c r="H36" s="32"/>
      <c r="I36" s="14">
        <f>+I35+I34</f>
        <v>-192043</v>
      </c>
      <c r="J36" s="14">
        <f>+J35+J34</f>
        <v>-56602</v>
      </c>
      <c r="K36" s="14">
        <f>+J36+I36</f>
        <v>-248645</v>
      </c>
      <c r="L36" s="14"/>
    </row>
    <row r="37" spans="1:13" x14ac:dyDescent="0.25">
      <c r="C37" s="329">
        <f>+summary!H5</f>
        <v>2.0699999999999998</v>
      </c>
      <c r="E37" s="104">
        <f>+C37</f>
        <v>2.0699999999999998</v>
      </c>
      <c r="F37" s="138">
        <f>+F36*E37</f>
        <v>-48883.049999999996</v>
      </c>
    </row>
    <row r="38" spans="1:13" x14ac:dyDescent="0.25">
      <c r="C38" s="138">
        <f>+C37*C36</f>
        <v>-28065.059999999998</v>
      </c>
      <c r="E38" s="136">
        <f>+E37*E36</f>
        <v>-20817.989999999998</v>
      </c>
      <c r="F38" s="138">
        <f>+E38+C38</f>
        <v>-48883.049999999996</v>
      </c>
    </row>
    <row r="39" spans="1:13" x14ac:dyDescent="0.25">
      <c r="A39" s="57">
        <v>37134</v>
      </c>
      <c r="B39" s="2" t="s">
        <v>46</v>
      </c>
      <c r="C39" s="489">
        <v>-1023166.39</v>
      </c>
      <c r="D39" s="338"/>
      <c r="E39" s="475">
        <v>-399182.01</v>
      </c>
      <c r="F39" s="337">
        <f>+E39+C39</f>
        <v>-1422348.4</v>
      </c>
    </row>
    <row r="40" spans="1:13" x14ac:dyDescent="0.25">
      <c r="A40" s="57">
        <v>37144</v>
      </c>
      <c r="B40" s="2" t="s">
        <v>46</v>
      </c>
      <c r="C40" s="330">
        <f>+C39+C38</f>
        <v>-1051231.45</v>
      </c>
      <c r="D40" s="259"/>
      <c r="E40" s="330">
        <f>+E39+E38</f>
        <v>-420000</v>
      </c>
      <c r="F40" s="330">
        <f>+E40+C40</f>
        <v>-1471231.45</v>
      </c>
      <c r="H40" s="131"/>
    </row>
    <row r="41" spans="1:13" x14ac:dyDescent="0.25">
      <c r="C41" s="348"/>
      <c r="D41" s="250"/>
      <c r="E41" s="250"/>
      <c r="H41" s="31"/>
    </row>
    <row r="42" spans="1:13" x14ac:dyDescent="0.25">
      <c r="C42" s="250"/>
      <c r="D42" s="250"/>
      <c r="E42" s="250"/>
    </row>
    <row r="43" spans="1:13" x14ac:dyDescent="0.25">
      <c r="C43" s="250"/>
      <c r="D43" s="250"/>
      <c r="E43" s="12" t="s">
        <v>115</v>
      </c>
    </row>
    <row r="44" spans="1:13" x14ac:dyDescent="0.25">
      <c r="C44" s="250"/>
      <c r="D44" s="250"/>
      <c r="E44" s="12">
        <v>22864</v>
      </c>
      <c r="F44" s="487">
        <v>-58339.66</v>
      </c>
      <c r="G44" s="254" t="s">
        <v>49</v>
      </c>
      <c r="J44" s="12">
        <v>22864</v>
      </c>
      <c r="K44" s="14">
        <v>-24566</v>
      </c>
    </row>
    <row r="45" spans="1:13" x14ac:dyDescent="0.25">
      <c r="C45" s="250"/>
      <c r="D45" s="250"/>
      <c r="E45" s="12">
        <v>20379</v>
      </c>
      <c r="F45" s="487">
        <v>-51695.87</v>
      </c>
      <c r="G45" s="254" t="s">
        <v>126</v>
      </c>
      <c r="J45" s="12">
        <v>20379</v>
      </c>
      <c r="K45" s="14">
        <v>2979</v>
      </c>
      <c r="M45" s="14"/>
    </row>
    <row r="46" spans="1:13" x14ac:dyDescent="0.25">
      <c r="C46" s="250"/>
      <c r="D46" s="250"/>
      <c r="E46" s="12">
        <v>26357</v>
      </c>
      <c r="F46" s="490">
        <v>44144.84</v>
      </c>
      <c r="G46" s="254" t="s">
        <v>127</v>
      </c>
      <c r="J46" s="12">
        <v>26357</v>
      </c>
      <c r="K46" s="14">
        <v>26521</v>
      </c>
    </row>
    <row r="47" spans="1:13" x14ac:dyDescent="0.25">
      <c r="C47" s="250"/>
      <c r="D47" s="250"/>
      <c r="E47" s="12">
        <v>21544</v>
      </c>
      <c r="F47" s="487">
        <v>61340.160000000003</v>
      </c>
      <c r="G47" s="254" t="s">
        <v>128</v>
      </c>
      <c r="J47" s="12">
        <v>21544</v>
      </c>
      <c r="K47" s="14">
        <v>36108</v>
      </c>
    </row>
    <row r="48" spans="1:13" x14ac:dyDescent="0.25">
      <c r="C48" s="250"/>
      <c r="D48" s="250"/>
      <c r="E48" s="12">
        <v>24532</v>
      </c>
      <c r="F48" s="491">
        <v>-933276.39</v>
      </c>
      <c r="G48" s="254" t="s">
        <v>125</v>
      </c>
      <c r="J48" s="12">
        <v>24532</v>
      </c>
      <c r="K48" s="212">
        <v>-42250</v>
      </c>
    </row>
    <row r="49" spans="3:13" x14ac:dyDescent="0.25">
      <c r="C49" s="250"/>
      <c r="D49" s="250"/>
      <c r="F49" s="349">
        <f>SUM(F40:F48)</f>
        <v>-2409058.37</v>
      </c>
      <c r="G49" s="250"/>
      <c r="K49" s="14">
        <f>SUM(K36:K48)</f>
        <v>-249853</v>
      </c>
    </row>
    <row r="50" spans="3:13" x14ac:dyDescent="0.25">
      <c r="C50" s="250"/>
      <c r="D50" s="250"/>
      <c r="F50" s="250"/>
      <c r="G50" s="250"/>
    </row>
    <row r="51" spans="3:13" x14ac:dyDescent="0.25">
      <c r="E51" s="2" t="s">
        <v>143</v>
      </c>
      <c r="F51" s="138">
        <f>+Duke!C56</f>
        <v>2440794.6799999997</v>
      </c>
      <c r="M51" s="14">
        <f>+Duke!I56</f>
        <v>592758</v>
      </c>
    </row>
    <row r="53" spans="3:13" x14ac:dyDescent="0.25">
      <c r="F53" s="104">
        <f>+F51+F49</f>
        <v>31736.30999999959</v>
      </c>
      <c r="M53" s="16">
        <f>+M51+K49</f>
        <v>342905</v>
      </c>
    </row>
    <row r="59" spans="3:13" x14ac:dyDescent="0.25">
      <c r="H59" s="258"/>
    </row>
    <row r="60" spans="3:13" x14ac:dyDescent="0.25">
      <c r="H60" s="258"/>
    </row>
    <row r="61" spans="3:13" x14ac:dyDescent="0.25">
      <c r="H61" s="258"/>
    </row>
    <row r="62" spans="3:13" x14ac:dyDescent="0.25">
      <c r="H62" s="367"/>
    </row>
    <row r="63" spans="3:13" x14ac:dyDescent="0.25">
      <c r="F63" s="367"/>
    </row>
    <row r="64" spans="3:13" x14ac:dyDescent="0.25">
      <c r="F64" s="367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30" workbookViewId="2">
      <selection activeCell="I41" sqref="I41"/>
    </sheetView>
    <sheetView topLeftCell="A27" workbookViewId="3">
      <selection activeCell="D47" sqref="D47"/>
    </sheetView>
  </sheetViews>
  <sheetFormatPr defaultRowHeight="13.2" x14ac:dyDescent="0.25"/>
  <cols>
    <col min="4" max="4" width="11.6640625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72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6447</v>
      </c>
      <c r="C8" s="11">
        <v>6386</v>
      </c>
      <c r="D8" s="11"/>
      <c r="E8" s="11"/>
      <c r="F8" s="11">
        <v>983</v>
      </c>
      <c r="G8" s="11">
        <v>1674</v>
      </c>
      <c r="H8" s="11">
        <v>1840</v>
      </c>
      <c r="I8" s="11">
        <v>1258</v>
      </c>
      <c r="J8" s="25">
        <f>+C8-B8+E8-D8+G8-F8+I8-H8</f>
        <v>48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6381</v>
      </c>
      <c r="C9" s="11">
        <v>6386</v>
      </c>
      <c r="D9" s="11"/>
      <c r="E9" s="11"/>
      <c r="F9" s="11">
        <v>971</v>
      </c>
      <c r="G9" s="11">
        <v>1305</v>
      </c>
      <c r="H9" s="11">
        <v>1770</v>
      </c>
      <c r="I9" s="11">
        <v>1258</v>
      </c>
      <c r="J9" s="25">
        <f t="shared" ref="J9:J38" si="0">+C9-B9+E9-D9+G9-F9+I9-H9</f>
        <v>-173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6244</v>
      </c>
      <c r="C10" s="11">
        <v>6374</v>
      </c>
      <c r="D10" s="11"/>
      <c r="E10" s="11"/>
      <c r="F10" s="11">
        <v>1013</v>
      </c>
      <c r="G10" s="11">
        <v>1612</v>
      </c>
      <c r="H10" s="11">
        <v>2100</v>
      </c>
      <c r="I10" s="11">
        <v>1258</v>
      </c>
      <c r="J10" s="25">
        <f t="shared" si="0"/>
        <v>-113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6471</v>
      </c>
      <c r="C11" s="11">
        <v>6386</v>
      </c>
      <c r="D11" s="11"/>
      <c r="E11" s="11"/>
      <c r="F11" s="11">
        <v>827</v>
      </c>
      <c r="G11" s="11">
        <v>1674</v>
      </c>
      <c r="H11" s="11">
        <v>2290</v>
      </c>
      <c r="I11" s="11">
        <v>1258</v>
      </c>
      <c r="J11" s="25">
        <f t="shared" si="0"/>
        <v>-270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6275</v>
      </c>
      <c r="C12" s="11">
        <v>6386</v>
      </c>
      <c r="D12" s="11"/>
      <c r="E12" s="11"/>
      <c r="F12" s="11">
        <v>967</v>
      </c>
      <c r="G12" s="11">
        <v>1674</v>
      </c>
      <c r="H12" s="11">
        <v>2209</v>
      </c>
      <c r="I12" s="11">
        <v>1258</v>
      </c>
      <c r="J12" s="25">
        <f t="shared" si="0"/>
        <v>-133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>
        <v>4296</v>
      </c>
      <c r="C13" s="11">
        <v>6386</v>
      </c>
      <c r="D13" s="11"/>
      <c r="E13" s="11"/>
      <c r="F13" s="11">
        <v>964</v>
      </c>
      <c r="G13" s="11">
        <v>1674</v>
      </c>
      <c r="H13" s="11">
        <v>2158</v>
      </c>
      <c r="I13" s="11">
        <v>1258</v>
      </c>
      <c r="J13" s="25">
        <f t="shared" si="0"/>
        <v>1900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>
        <v>6323</v>
      </c>
      <c r="C14" s="11">
        <v>6386</v>
      </c>
      <c r="D14" s="11"/>
      <c r="E14" s="11"/>
      <c r="F14" s="11">
        <v>965</v>
      </c>
      <c r="G14" s="11">
        <v>1674</v>
      </c>
      <c r="H14" s="11">
        <v>2108</v>
      </c>
      <c r="I14" s="129">
        <v>1258</v>
      </c>
      <c r="J14" s="25">
        <f t="shared" si="0"/>
        <v>-78</v>
      </c>
      <c r="K14" s="10"/>
      <c r="L14" s="11"/>
      <c r="M14" s="11"/>
      <c r="N14" s="11"/>
      <c r="O14" s="11"/>
      <c r="P14" s="11"/>
      <c r="Q14" s="11"/>
      <c r="R14" s="123"/>
      <c r="S14" s="289"/>
      <c r="T14" s="11"/>
      <c r="U14" s="11"/>
      <c r="V14" s="11"/>
      <c r="W14" s="11"/>
      <c r="X14" s="25"/>
    </row>
    <row r="15" spans="1:24" x14ac:dyDescent="0.25">
      <c r="A15" s="10">
        <v>8</v>
      </c>
      <c r="B15" s="11">
        <v>6044</v>
      </c>
      <c r="C15" s="11">
        <v>6386</v>
      </c>
      <c r="D15" s="11"/>
      <c r="E15" s="11"/>
      <c r="F15" s="11">
        <v>952</v>
      </c>
      <c r="G15" s="11">
        <v>1674</v>
      </c>
      <c r="H15" s="11">
        <v>2096</v>
      </c>
      <c r="I15" s="11">
        <v>1258</v>
      </c>
      <c r="J15" s="25">
        <f t="shared" si="0"/>
        <v>226</v>
      </c>
      <c r="K15" s="10"/>
      <c r="L15" s="11"/>
      <c r="M15" s="11"/>
      <c r="N15" s="11"/>
      <c r="O15" s="11"/>
      <c r="P15" s="11"/>
      <c r="Q15" s="11"/>
      <c r="R15" s="123"/>
      <c r="S15" s="289"/>
      <c r="T15" s="11"/>
      <c r="U15" s="11"/>
      <c r="V15" s="11"/>
      <c r="W15" s="11"/>
      <c r="X15" s="25"/>
    </row>
    <row r="16" spans="1:24" x14ac:dyDescent="0.25">
      <c r="A16" s="10">
        <v>9</v>
      </c>
      <c r="B16" s="11">
        <v>5784</v>
      </c>
      <c r="C16" s="11">
        <v>6386</v>
      </c>
      <c r="D16" s="11"/>
      <c r="E16" s="11"/>
      <c r="F16" s="11">
        <v>1054</v>
      </c>
      <c r="G16" s="11">
        <v>1674</v>
      </c>
      <c r="H16" s="11">
        <v>2065</v>
      </c>
      <c r="I16" s="11">
        <v>1258</v>
      </c>
      <c r="J16" s="25">
        <f t="shared" si="0"/>
        <v>415</v>
      </c>
      <c r="K16" s="10"/>
      <c r="L16" s="11"/>
      <c r="M16" s="11"/>
      <c r="N16" s="11"/>
      <c r="O16" s="11"/>
      <c r="P16" s="11"/>
      <c r="Q16" s="11"/>
      <c r="R16" s="123"/>
      <c r="S16" s="289"/>
      <c r="T16" s="11"/>
      <c r="U16" s="11"/>
      <c r="V16" s="11"/>
      <c r="W16" s="11"/>
      <c r="X16" s="25"/>
    </row>
    <row r="17" spans="1:24" x14ac:dyDescent="0.25">
      <c r="A17" s="10">
        <v>10</v>
      </c>
      <c r="B17" s="11">
        <v>5604</v>
      </c>
      <c r="C17" s="11">
        <v>6386</v>
      </c>
      <c r="D17" s="11"/>
      <c r="E17" s="11"/>
      <c r="F17" s="11">
        <v>906</v>
      </c>
      <c r="G17" s="11">
        <v>1674</v>
      </c>
      <c r="H17" s="11">
        <v>2040</v>
      </c>
      <c r="I17" s="11">
        <v>1258</v>
      </c>
      <c r="J17" s="25">
        <f t="shared" si="0"/>
        <v>768</v>
      </c>
      <c r="K17" s="10"/>
      <c r="L17" s="11"/>
      <c r="M17" s="11"/>
      <c r="N17" s="11"/>
      <c r="O17" s="11"/>
      <c r="P17" s="11"/>
      <c r="Q17" s="11"/>
      <c r="R17" s="123"/>
      <c r="S17" s="289"/>
      <c r="T17" s="11"/>
      <c r="U17" s="11"/>
      <c r="V17" s="11"/>
      <c r="W17" s="11"/>
      <c r="X17" s="25"/>
    </row>
    <row r="18" spans="1:24" x14ac:dyDescent="0.25">
      <c r="A18" s="10">
        <v>11</v>
      </c>
      <c r="B18" s="11"/>
      <c r="C18" s="11"/>
      <c r="D18" s="11"/>
      <c r="E18" s="11"/>
      <c r="F18" s="11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/>
      <c r="C19" s="11"/>
      <c r="D19" s="11"/>
      <c r="E19" s="11"/>
      <c r="F19" s="11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/>
      <c r="C20" s="11"/>
      <c r="D20" s="11"/>
      <c r="E20" s="11"/>
      <c r="F20" s="11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/>
      <c r="C21" s="11"/>
      <c r="D21" s="11"/>
      <c r="E21" s="11"/>
      <c r="F21" s="11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/>
      <c r="C22" s="11"/>
      <c r="D22" s="11"/>
      <c r="E22" s="11"/>
      <c r="F22" s="11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/>
      <c r="C23" s="11"/>
      <c r="D23" s="11"/>
      <c r="E23" s="11"/>
      <c r="F23" s="11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59869</v>
      </c>
      <c r="C39" s="11">
        <f t="shared" si="1"/>
        <v>63848</v>
      </c>
      <c r="D39" s="11">
        <f t="shared" si="1"/>
        <v>0</v>
      </c>
      <c r="E39" s="11">
        <f t="shared" si="1"/>
        <v>0</v>
      </c>
      <c r="F39" s="11">
        <f t="shared" si="1"/>
        <v>9602</v>
      </c>
      <c r="G39" s="11">
        <f t="shared" si="1"/>
        <v>16309</v>
      </c>
      <c r="H39" s="11">
        <f t="shared" si="1"/>
        <v>20676</v>
      </c>
      <c r="I39" s="11">
        <f t="shared" si="1"/>
        <v>12580</v>
      </c>
      <c r="J39" s="25">
        <f t="shared" si="1"/>
        <v>2590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60">
        <f>+summary!H4</f>
        <v>2.0299999999999998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5257.7</v>
      </c>
      <c r="L41"/>
      <c r="R41" s="138"/>
      <c r="X41" s="138"/>
    </row>
    <row r="42" spans="1:24" x14ac:dyDescent="0.25">
      <c r="A42" s="57">
        <v>37134</v>
      </c>
      <c r="C42" s="15"/>
      <c r="J42" s="484">
        <v>343565.75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37144</v>
      </c>
      <c r="C43" s="48"/>
      <c r="J43" s="138">
        <f>+J42+J41</f>
        <v>348823.45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A46" s="32" t="s">
        <v>157</v>
      </c>
      <c r="B46" s="32"/>
      <c r="C46" s="32"/>
      <c r="D46" s="32"/>
      <c r="L46"/>
    </row>
    <row r="47" spans="1:24" x14ac:dyDescent="0.25">
      <c r="A47" s="49">
        <f>+A42</f>
        <v>37134</v>
      </c>
      <c r="B47" s="32"/>
      <c r="C47" s="32"/>
      <c r="D47" s="477">
        <v>135836</v>
      </c>
      <c r="L47"/>
    </row>
    <row r="48" spans="1:24" x14ac:dyDescent="0.25">
      <c r="A48" s="49">
        <f>+A43</f>
        <v>37144</v>
      </c>
      <c r="B48" s="32"/>
      <c r="C48" s="32"/>
      <c r="D48" s="377">
        <f>+J39</f>
        <v>2590</v>
      </c>
      <c r="L48"/>
    </row>
    <row r="49" spans="1:12" x14ac:dyDescent="0.25">
      <c r="A49" s="32"/>
      <c r="B49" s="32"/>
      <c r="C49" s="32"/>
      <c r="D49" s="14">
        <f>+D48+D47</f>
        <v>138426</v>
      </c>
      <c r="L49"/>
    </row>
    <row r="50" spans="1:12" x14ac:dyDescent="0.25">
      <c r="A50" s="139"/>
      <c r="B50" s="119"/>
      <c r="C50" s="140"/>
      <c r="D50" s="140"/>
      <c r="L50"/>
    </row>
    <row r="51" spans="1:12" x14ac:dyDescent="0.25">
      <c r="L51"/>
    </row>
    <row r="52" spans="1:12" x14ac:dyDescent="0.25">
      <c r="L52"/>
    </row>
    <row r="53" spans="1:12" x14ac:dyDescent="0.25">
      <c r="L53"/>
    </row>
    <row r="54" spans="1:12" x14ac:dyDescent="0.25">
      <c r="L54"/>
    </row>
    <row r="55" spans="1:12" x14ac:dyDescent="0.25">
      <c r="L55"/>
    </row>
    <row r="56" spans="1:12" x14ac:dyDescent="0.25">
      <c r="L56"/>
    </row>
    <row r="57" spans="1:12" x14ac:dyDescent="0.25">
      <c r="L57"/>
    </row>
    <row r="58" spans="1:12" x14ac:dyDescent="0.25">
      <c r="L58"/>
    </row>
    <row r="59" spans="1:12" x14ac:dyDescent="0.25">
      <c r="L59"/>
    </row>
    <row r="60" spans="1:12" x14ac:dyDescent="0.25">
      <c r="L60"/>
    </row>
    <row r="61" spans="1:12" x14ac:dyDescent="0.25">
      <c r="L61"/>
    </row>
    <row r="62" spans="1:12" x14ac:dyDescent="0.25">
      <c r="L62"/>
    </row>
    <row r="63" spans="1:12" x14ac:dyDescent="0.25">
      <c r="L63"/>
    </row>
    <row r="64" spans="1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27" workbookViewId="3">
      <selection activeCell="A44" sqref="A44"/>
    </sheetView>
  </sheetViews>
  <sheetFormatPr defaultRowHeight="13.2" x14ac:dyDescent="0.25"/>
  <cols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"/>
      <c r="B6" s="1" t="s">
        <v>73</v>
      </c>
      <c r="D6" s="1" t="s">
        <v>146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5">
      <c r="A8" s="10">
        <v>1</v>
      </c>
      <c r="B8" s="11">
        <v>11248</v>
      </c>
      <c r="C8" s="11">
        <v>11294</v>
      </c>
      <c r="D8" s="11">
        <v>-98</v>
      </c>
      <c r="E8" s="11"/>
      <c r="F8" s="25">
        <f>+C8-B8+E8-D8</f>
        <v>144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5">
      <c r="A9" s="10">
        <v>2</v>
      </c>
      <c r="B9" s="11">
        <v>11633</v>
      </c>
      <c r="C9" s="11">
        <v>11294</v>
      </c>
      <c r="D9" s="11">
        <v>-72</v>
      </c>
      <c r="E9" s="11"/>
      <c r="F9" s="25">
        <f t="shared" ref="F9:F38" si="0">+C9-B9+E9-D9</f>
        <v>-267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5">
      <c r="A10" s="10">
        <v>3</v>
      </c>
      <c r="B10" s="11">
        <v>11027</v>
      </c>
      <c r="C10" s="11">
        <v>11294</v>
      </c>
      <c r="D10" s="11">
        <v>-114</v>
      </c>
      <c r="E10" s="11"/>
      <c r="F10" s="25">
        <f t="shared" si="0"/>
        <v>381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5">
      <c r="A11" s="10">
        <v>4</v>
      </c>
      <c r="B11" s="11">
        <v>11274</v>
      </c>
      <c r="C11" s="11">
        <v>11294</v>
      </c>
      <c r="D11" s="11">
        <v>-381</v>
      </c>
      <c r="E11" s="11"/>
      <c r="F11" s="25">
        <f t="shared" si="0"/>
        <v>401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5">
      <c r="A12" s="10">
        <v>5</v>
      </c>
      <c r="B12" s="11">
        <v>11569</v>
      </c>
      <c r="C12" s="11">
        <v>11294</v>
      </c>
      <c r="D12" s="11">
        <v>-831</v>
      </c>
      <c r="E12" s="11"/>
      <c r="F12" s="25">
        <f t="shared" si="0"/>
        <v>556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5">
      <c r="A13" s="10">
        <v>6</v>
      </c>
      <c r="B13" s="11">
        <v>11037</v>
      </c>
      <c r="C13" s="11">
        <v>11295</v>
      </c>
      <c r="D13" s="11">
        <v>-49</v>
      </c>
      <c r="E13" s="11"/>
      <c r="F13" s="25">
        <f t="shared" si="0"/>
        <v>307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5">
      <c r="A14" s="10">
        <v>7</v>
      </c>
      <c r="B14" s="11">
        <v>11390</v>
      </c>
      <c r="C14" s="11">
        <v>11295</v>
      </c>
      <c r="D14" s="11"/>
      <c r="E14" s="11"/>
      <c r="F14" s="25">
        <f t="shared" si="0"/>
        <v>-95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5">
      <c r="A15" s="10">
        <v>8</v>
      </c>
      <c r="B15" s="11">
        <v>11316</v>
      </c>
      <c r="C15" s="11">
        <v>11294</v>
      </c>
      <c r="D15" s="11"/>
      <c r="E15" s="11"/>
      <c r="F15" s="25">
        <f t="shared" si="0"/>
        <v>-22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5">
      <c r="A16" s="10">
        <v>9</v>
      </c>
      <c r="B16" s="11">
        <v>11201</v>
      </c>
      <c r="C16" s="11">
        <v>11294</v>
      </c>
      <c r="D16" s="11"/>
      <c r="E16" s="11"/>
      <c r="F16" s="25">
        <f t="shared" si="0"/>
        <v>93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5">
      <c r="A17" s="10">
        <v>10</v>
      </c>
      <c r="B17" s="11">
        <v>12643</v>
      </c>
      <c r="C17" s="11">
        <v>11294</v>
      </c>
      <c r="D17" s="11">
        <v>-704</v>
      </c>
      <c r="E17" s="11"/>
      <c r="F17" s="25">
        <f t="shared" si="0"/>
        <v>-645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5">
      <c r="A18" s="10">
        <v>11</v>
      </c>
      <c r="B18" s="11">
        <v>12233</v>
      </c>
      <c r="C18" s="11">
        <v>11294</v>
      </c>
      <c r="D18" s="11">
        <v>-352</v>
      </c>
      <c r="E18" s="11"/>
      <c r="F18" s="25">
        <f t="shared" si="0"/>
        <v>-587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5">
      <c r="A19" s="10">
        <v>12</v>
      </c>
      <c r="B19" s="11">
        <v>12021</v>
      </c>
      <c r="C19" s="11">
        <v>11294</v>
      </c>
      <c r="D19" s="11">
        <v>-226</v>
      </c>
      <c r="E19" s="11"/>
      <c r="F19" s="25">
        <f t="shared" si="0"/>
        <v>-501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5">
      <c r="A20" s="10">
        <v>13</v>
      </c>
      <c r="B20" s="11"/>
      <c r="C20" s="11"/>
      <c r="D20" s="11"/>
      <c r="E20" s="11"/>
      <c r="F20" s="25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5">
      <c r="A21" s="10">
        <v>14</v>
      </c>
      <c r="B21" s="11"/>
      <c r="C21" s="11"/>
      <c r="D21" s="11"/>
      <c r="E21" s="11"/>
      <c r="F21" s="25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5">
      <c r="A22" s="10">
        <v>15</v>
      </c>
      <c r="B22" s="11"/>
      <c r="C22" s="11"/>
      <c r="D22" s="11"/>
      <c r="E22" s="11"/>
      <c r="F22" s="25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5">
      <c r="A23" s="10">
        <v>16</v>
      </c>
      <c r="B23" s="11"/>
      <c r="C23" s="11"/>
      <c r="D23" s="11"/>
      <c r="E23" s="11"/>
      <c r="F23" s="25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5">
      <c r="A24" s="10">
        <v>17</v>
      </c>
      <c r="B24" s="11"/>
      <c r="C24" s="11"/>
      <c r="D24" s="11"/>
      <c r="E24" s="11"/>
      <c r="F24" s="25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5">
      <c r="A25" s="10">
        <v>18</v>
      </c>
      <c r="B25" s="11"/>
      <c r="C25" s="11"/>
      <c r="D25" s="11"/>
      <c r="E25" s="11"/>
      <c r="F25" s="25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5">
      <c r="A26" s="10">
        <v>19</v>
      </c>
      <c r="B26" s="11"/>
      <c r="C26" s="11"/>
      <c r="D26" s="11"/>
      <c r="E26" s="11"/>
      <c r="F26" s="25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5">
      <c r="A27" s="10">
        <v>20</v>
      </c>
      <c r="B27" s="11"/>
      <c r="C27" s="11"/>
      <c r="D27" s="11"/>
      <c r="E27" s="11"/>
      <c r="F27" s="25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5">
      <c r="A28" s="10">
        <v>21</v>
      </c>
      <c r="B28" s="11"/>
      <c r="C28" s="11"/>
      <c r="D28" s="11"/>
      <c r="E28" s="11"/>
      <c r="F28" s="25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5">
      <c r="A29" s="10">
        <v>22</v>
      </c>
      <c r="B29" s="11"/>
      <c r="C29" s="11"/>
      <c r="D29" s="11"/>
      <c r="E29" s="11"/>
      <c r="F29" s="25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5">
      <c r="A30" s="10">
        <v>23</v>
      </c>
      <c r="B30" s="11"/>
      <c r="C30" s="11"/>
      <c r="D30" s="11"/>
      <c r="E30" s="11"/>
      <c r="F30" s="25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5">
      <c r="A31" s="10">
        <v>24</v>
      </c>
      <c r="B31" s="11"/>
      <c r="C31" s="11"/>
      <c r="D31" s="11"/>
      <c r="E31" s="11"/>
      <c r="F31" s="25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5">
      <c r="A32" s="10">
        <v>25</v>
      </c>
      <c r="B32" s="11"/>
      <c r="C32" s="11"/>
      <c r="D32" s="11"/>
      <c r="E32" s="11"/>
      <c r="F32" s="25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5">
      <c r="A33" s="10">
        <v>26</v>
      </c>
      <c r="B33" s="11"/>
      <c r="C33" s="11"/>
      <c r="D33" s="11"/>
      <c r="E33" s="11"/>
      <c r="F33" s="25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5">
      <c r="A34" s="10">
        <v>27</v>
      </c>
      <c r="B34" s="11"/>
      <c r="C34" s="11"/>
      <c r="D34" s="11"/>
      <c r="E34" s="11"/>
      <c r="F34" s="25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5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5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5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5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5">
      <c r="A39" s="10"/>
      <c r="B39" s="11">
        <f>SUM(B8:B38)</f>
        <v>138592</v>
      </c>
      <c r="C39" s="11">
        <f>SUM(C8:C38)</f>
        <v>135530</v>
      </c>
      <c r="D39" s="11">
        <f>SUM(D8:D38)</f>
        <v>-2827</v>
      </c>
      <c r="E39" s="11">
        <f>SUM(E8:E38)</f>
        <v>0</v>
      </c>
      <c r="F39" s="11">
        <f>SUM(F8:F38)</f>
        <v>-235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5">
      <c r="A40" s="26"/>
      <c r="C40" s="14"/>
      <c r="D40" s="14"/>
      <c r="E40" s="14"/>
      <c r="F40" s="106">
        <f>+summary!H4</f>
        <v>2.0299999999999998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5">
      <c r="F41" s="138">
        <f>+F40*F39</f>
        <v>-477.04999999999995</v>
      </c>
      <c r="J41" s="138"/>
      <c r="N41" s="138"/>
      <c r="R41" s="138"/>
      <c r="V41" s="138"/>
      <c r="Z41" s="138"/>
    </row>
    <row r="42" spans="1:26" x14ac:dyDescent="0.25">
      <c r="A42" s="57">
        <v>37134</v>
      </c>
      <c r="C42" s="15"/>
      <c r="D42" s="15"/>
      <c r="E42" s="15"/>
      <c r="F42" s="478">
        <v>429151.98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5">
      <c r="A43" s="57">
        <v>37146</v>
      </c>
      <c r="C43" s="48"/>
      <c r="D43" s="48"/>
      <c r="E43" s="48"/>
      <c r="F43" s="110">
        <f>+F42+F41</f>
        <v>428674.93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5">
      <c r="A46" s="32" t="s">
        <v>157</v>
      </c>
      <c r="B46" s="32"/>
      <c r="C46" s="32"/>
      <c r="D46" s="32"/>
      <c r="E46" s="11"/>
    </row>
    <row r="47" spans="1:26" x14ac:dyDescent="0.25">
      <c r="A47" s="49">
        <f>+A42</f>
        <v>37134</v>
      </c>
      <c r="B47" s="32"/>
      <c r="C47" s="32"/>
      <c r="D47" s="477">
        <v>-240480</v>
      </c>
      <c r="E47" s="11"/>
    </row>
    <row r="48" spans="1:26" x14ac:dyDescent="0.25">
      <c r="A48" s="49">
        <f>+A43</f>
        <v>37146</v>
      </c>
      <c r="B48" s="32"/>
      <c r="C48" s="32"/>
      <c r="D48" s="377">
        <f>+F39</f>
        <v>-235</v>
      </c>
      <c r="E48" s="11"/>
    </row>
    <row r="49" spans="1:5" x14ac:dyDescent="0.25">
      <c r="A49" s="32"/>
      <c r="B49" s="32"/>
      <c r="C49" s="32"/>
      <c r="D49" s="14">
        <f>+D48+D47</f>
        <v>-240715</v>
      </c>
      <c r="E49" s="11"/>
    </row>
    <row r="50" spans="1:5" x14ac:dyDescent="0.25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56"/>
  <sheetViews>
    <sheetView tabSelected="1" topLeftCell="A16" workbookViewId="0">
      <selection activeCell="B15" sqref="B15"/>
    </sheetView>
    <sheetView tabSelected="1" topLeftCell="A7" workbookViewId="1">
      <selection activeCell="B16" sqref="B16"/>
    </sheetView>
    <sheetView tabSelected="1" topLeftCell="A19" workbookViewId="2">
      <selection activeCell="J34" sqref="J34"/>
    </sheetView>
    <sheetView tabSelected="1" workbookViewId="3">
      <selection activeCell="E17" sqref="E17"/>
    </sheetView>
  </sheetViews>
  <sheetFormatPr defaultRowHeight="13.2" x14ac:dyDescent="0.25"/>
  <cols>
    <col min="1" max="1" width="16.44140625" style="295" customWidth="1"/>
    <col min="2" max="2" width="12.33203125" style="252" bestFit="1" customWidth="1"/>
    <col min="3" max="3" width="11.5546875" style="296" customWidth="1"/>
    <col min="4" max="4" width="5.109375" style="7" customWidth="1"/>
    <col min="5" max="5" width="11.109375" bestFit="1" customWidth="1"/>
    <col min="6" max="6" width="12.88671875" bestFit="1" customWidth="1"/>
    <col min="9" max="9" width="10.44140625" customWidth="1"/>
    <col min="10" max="10" width="8.44140625" customWidth="1"/>
    <col min="11" max="11" width="5.109375" customWidth="1"/>
  </cols>
  <sheetData>
    <row r="2" spans="1:32" ht="20.100000000000001" customHeight="1" x14ac:dyDescent="0.25">
      <c r="A2" s="365" t="s">
        <v>145</v>
      </c>
      <c r="G2" s="394" t="s">
        <v>81</v>
      </c>
      <c r="H2" s="371"/>
    </row>
    <row r="3" spans="1:32" ht="15" customHeight="1" x14ac:dyDescent="0.25">
      <c r="G3" s="299" t="s">
        <v>30</v>
      </c>
      <c r="H3" s="370">
        <f>+'[1]0901'!$K$39</f>
        <v>1.94</v>
      </c>
      <c r="I3" s="405">
        <f ca="1">NOW()</f>
        <v>37147.830071759257</v>
      </c>
    </row>
    <row r="4" spans="1:32" ht="15" customHeight="1" x14ac:dyDescent="0.25">
      <c r="A4" s="34" t="s">
        <v>152</v>
      </c>
      <c r="C4" s="34" t="s">
        <v>5</v>
      </c>
      <c r="G4" s="300" t="s">
        <v>31</v>
      </c>
      <c r="H4" s="301">
        <f>+'[1]0901'!$M$39</f>
        <v>2.0299999999999998</v>
      </c>
    </row>
    <row r="5" spans="1:32" ht="15" customHeight="1" x14ac:dyDescent="0.25">
      <c r="B5" s="367"/>
      <c r="G5" s="299" t="s">
        <v>120</v>
      </c>
      <c r="H5" s="370">
        <f>+'[1]0901'!$H$39</f>
        <v>2.0699999999999998</v>
      </c>
    </row>
    <row r="6" spans="1:32" ht="9.9" customHeight="1" x14ac:dyDescent="0.25"/>
    <row r="7" spans="1:32" ht="15" customHeight="1" x14ac:dyDescent="0.25">
      <c r="A7" s="355" t="s">
        <v>92</v>
      </c>
      <c r="B7" s="356" t="s">
        <v>17</v>
      </c>
      <c r="C7" s="357" t="s">
        <v>0</v>
      </c>
      <c r="D7" s="5" t="s">
        <v>153</v>
      </c>
      <c r="E7" s="355" t="s">
        <v>93</v>
      </c>
      <c r="F7" s="358" t="s">
        <v>104</v>
      </c>
      <c r="G7" s="355" t="s">
        <v>101</v>
      </c>
    </row>
    <row r="8" spans="1:32" ht="15" customHeight="1" x14ac:dyDescent="0.25">
      <c r="A8" s="372" t="s">
        <v>90</v>
      </c>
      <c r="B8" s="373">
        <f>+NNG!$D$24</f>
        <v>562126.1</v>
      </c>
      <c r="C8" s="285">
        <f t="shared" ref="C8:C15" si="0">+B8/$H$4</f>
        <v>276909.40886699507</v>
      </c>
      <c r="D8" s="395">
        <f>+NNG!A24</f>
        <v>37145</v>
      </c>
      <c r="E8" s="206" t="s">
        <v>88</v>
      </c>
      <c r="F8" s="206" t="s">
        <v>103</v>
      </c>
      <c r="G8" s="32"/>
      <c r="H8" s="7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5">
      <c r="A9" s="253" t="s">
        <v>83</v>
      </c>
      <c r="B9" s="373">
        <f>+Conoco!$F$41</f>
        <v>508467.5</v>
      </c>
      <c r="C9" s="285">
        <f>+B9/$H$4</f>
        <v>250476.60098522171</v>
      </c>
      <c r="D9" s="395">
        <f>+Conoco!A41</f>
        <v>37145</v>
      </c>
      <c r="E9" s="32" t="s">
        <v>88</v>
      </c>
      <c r="F9" s="32" t="s">
        <v>116</v>
      </c>
      <c r="G9" s="32" t="s">
        <v>149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5">
      <c r="A10" s="253" t="s">
        <v>154</v>
      </c>
      <c r="B10" s="373">
        <f>+PGETX!$H$39</f>
        <v>455150.02</v>
      </c>
      <c r="C10" s="285">
        <f t="shared" si="0"/>
        <v>224211.8325123153</v>
      </c>
      <c r="D10" s="396">
        <f>+PGETX!E39</f>
        <v>37145</v>
      </c>
      <c r="E10" s="32" t="s">
        <v>88</v>
      </c>
      <c r="F10" s="32" t="s">
        <v>105</v>
      </c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5">
      <c r="A11" s="372" t="s">
        <v>29</v>
      </c>
      <c r="B11" s="373">
        <f>+C11*$H$3</f>
        <v>444058.24</v>
      </c>
      <c r="C11" s="285">
        <f>+williams!J40</f>
        <v>228896</v>
      </c>
      <c r="D11" s="395">
        <f>+williams!A40</f>
        <v>37145</v>
      </c>
      <c r="E11" s="206" t="s">
        <v>87</v>
      </c>
      <c r="F11" s="206" t="s">
        <v>151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5">
      <c r="A12" s="253" t="s">
        <v>3</v>
      </c>
      <c r="B12" s="373">
        <f>+'Amoco Abo'!$F$43</f>
        <v>428674.93</v>
      </c>
      <c r="C12" s="285">
        <f t="shared" si="0"/>
        <v>211169.91625615765</v>
      </c>
      <c r="D12" s="396">
        <f>+'Amoco Abo'!A43</f>
        <v>37146</v>
      </c>
      <c r="E12" s="32" t="s">
        <v>88</v>
      </c>
      <c r="F12" s="32" t="s">
        <v>118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5">
      <c r="A13" s="253" t="s">
        <v>113</v>
      </c>
      <c r="B13" s="373">
        <f>+CIG!$D$43</f>
        <v>392514.77</v>
      </c>
      <c r="C13" s="285">
        <f t="shared" si="0"/>
        <v>193357.02955665026</v>
      </c>
      <c r="D13" s="396">
        <f>+CIG!A43</f>
        <v>37144</v>
      </c>
      <c r="E13" s="32" t="s">
        <v>88</v>
      </c>
      <c r="F13" s="32" t="s">
        <v>116</v>
      </c>
      <c r="G13" s="32" t="s">
        <v>205</v>
      </c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5">
      <c r="A14" s="253" t="s">
        <v>110</v>
      </c>
      <c r="B14" s="373">
        <f>+KN_Westar!F41</f>
        <v>366544.3</v>
      </c>
      <c r="C14" s="285">
        <f t="shared" si="0"/>
        <v>180563.69458128081</v>
      </c>
      <c r="D14" s="396">
        <f>+KN_Westar!A41</f>
        <v>37142</v>
      </c>
      <c r="E14" s="32" t="s">
        <v>88</v>
      </c>
      <c r="F14" s="32" t="s">
        <v>103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5" customHeight="1" x14ac:dyDescent="0.25">
      <c r="A15" s="253" t="s">
        <v>2</v>
      </c>
      <c r="B15" s="373">
        <f>+mewborne!$J$43</f>
        <v>348823.45</v>
      </c>
      <c r="C15" s="285">
        <f t="shared" si="0"/>
        <v>171834.21182266012</v>
      </c>
      <c r="D15" s="396">
        <f>+mewborne!A43</f>
        <v>37144</v>
      </c>
      <c r="E15" s="32" t="s">
        <v>88</v>
      </c>
      <c r="F15" s="32" t="s">
        <v>102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5">
      <c r="A16" s="372" t="s">
        <v>33</v>
      </c>
      <c r="B16" s="373">
        <f>+C16*$H$4</f>
        <v>332225.74</v>
      </c>
      <c r="C16" s="208">
        <f>+SoCal!F40</f>
        <v>163658</v>
      </c>
      <c r="D16" s="395">
        <f>+SoCal!A40</f>
        <v>37146</v>
      </c>
      <c r="E16" s="206" t="s">
        <v>87</v>
      </c>
      <c r="F16" s="206" t="s">
        <v>105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5">
      <c r="A17" s="253" t="s">
        <v>91</v>
      </c>
      <c r="B17" s="373">
        <f>+C17*$H$4</f>
        <v>312644.36</v>
      </c>
      <c r="C17" s="285">
        <f>+NGPL!F38</f>
        <v>154012</v>
      </c>
      <c r="D17" s="396">
        <f>+NGPL!A38</f>
        <v>37146</v>
      </c>
      <c r="E17" s="32" t="s">
        <v>87</v>
      </c>
      <c r="F17" s="32" t="s">
        <v>118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5">
      <c r="A18" s="253" t="s">
        <v>97</v>
      </c>
      <c r="B18" s="373">
        <f>+C18*$H$4</f>
        <v>296759.61</v>
      </c>
      <c r="C18" s="285">
        <f>+Mojave!D40</f>
        <v>146187</v>
      </c>
      <c r="D18" s="396">
        <f>+Mojave!A40</f>
        <v>37146</v>
      </c>
      <c r="E18" s="32" t="s">
        <v>87</v>
      </c>
      <c r="F18" s="32" t="s">
        <v>103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5">
      <c r="A19" s="253" t="s">
        <v>24</v>
      </c>
      <c r="B19" s="441">
        <f>+C19*$H$3</f>
        <v>274411.06</v>
      </c>
      <c r="C19" s="375">
        <f>+'Red C'!F43</f>
        <v>141449</v>
      </c>
      <c r="D19" s="395">
        <f>+'Red C'!B43</f>
        <v>37143</v>
      </c>
      <c r="E19" s="206" t="s">
        <v>87</v>
      </c>
      <c r="F19" s="32" t="s">
        <v>118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5">
      <c r="A20" s="253" t="s">
        <v>32</v>
      </c>
      <c r="B20" s="373">
        <f>+C20*$H$4</f>
        <v>159868.59</v>
      </c>
      <c r="C20" s="285">
        <f>+Lonestar!F42</f>
        <v>78753</v>
      </c>
      <c r="D20" s="395">
        <f>+Lonestar!B42</f>
        <v>37145</v>
      </c>
      <c r="E20" s="32" t="s">
        <v>87</v>
      </c>
      <c r="F20" s="32" t="s">
        <v>105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5">
      <c r="A21" s="253" t="s">
        <v>148</v>
      </c>
      <c r="B21" s="374">
        <f>+C21*$H$4</f>
        <v>133027.93</v>
      </c>
      <c r="C21" s="375">
        <f>+PEPL!D41</f>
        <v>65531</v>
      </c>
      <c r="D21" s="396">
        <f>+PEPL!A41</f>
        <v>37145</v>
      </c>
      <c r="E21" s="32" t="s">
        <v>87</v>
      </c>
      <c r="F21" s="32" t="s">
        <v>103</v>
      </c>
      <c r="G21" s="32" t="s">
        <v>147</v>
      </c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5">
      <c r="A22" s="253" t="s">
        <v>1</v>
      </c>
      <c r="B22" s="373">
        <f>+C22*$H$3</f>
        <v>130106.09999999999</v>
      </c>
      <c r="C22" s="208">
        <f>+NW!$F$41</f>
        <v>67065</v>
      </c>
      <c r="D22" s="395">
        <f>+NW!B41</f>
        <v>37146</v>
      </c>
      <c r="E22" s="32" t="s">
        <v>87</v>
      </c>
      <c r="F22" s="32" t="s">
        <v>118</v>
      </c>
      <c r="G22" s="379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5">
      <c r="A23" s="372" t="s">
        <v>82</v>
      </c>
      <c r="B23" s="373">
        <f>+Agave!$D$24</f>
        <v>129647.68999999999</v>
      </c>
      <c r="C23" s="208">
        <f>+B23/$H$4</f>
        <v>63865.857142857145</v>
      </c>
      <c r="D23" s="395">
        <f>+Agave!A24</f>
        <v>37145</v>
      </c>
      <c r="E23" s="206" t="s">
        <v>88</v>
      </c>
      <c r="F23" s="206" t="s">
        <v>105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3.5" customHeight="1" x14ac:dyDescent="0.25">
      <c r="A24" s="253" t="s">
        <v>6</v>
      </c>
      <c r="B24" s="373">
        <f>+C24*$H$3</f>
        <v>128142.81999999999</v>
      </c>
      <c r="C24" s="285">
        <f>+Amoco!D40</f>
        <v>66053</v>
      </c>
      <c r="D24" s="396">
        <f>+Amoco!A40</f>
        <v>37146</v>
      </c>
      <c r="E24" s="32" t="s">
        <v>87</v>
      </c>
      <c r="F24" s="32" t="s">
        <v>118</v>
      </c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.5" customHeight="1" x14ac:dyDescent="0.25">
      <c r="A25" s="253" t="s">
        <v>117</v>
      </c>
      <c r="B25" s="373">
        <f>+C25*$H$4</f>
        <v>111345.49999999999</v>
      </c>
      <c r="C25" s="208">
        <f>+'PG&amp;E'!D40</f>
        <v>54850</v>
      </c>
      <c r="D25" s="396">
        <f>+'PG&amp;E'!A40</f>
        <v>37146</v>
      </c>
      <c r="E25" s="32" t="s">
        <v>87</v>
      </c>
      <c r="F25" s="32" t="s">
        <v>105</v>
      </c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5">
      <c r="A26" s="253" t="s">
        <v>7</v>
      </c>
      <c r="B26" s="373">
        <f>+C26*$H$4</f>
        <v>101331.51</v>
      </c>
      <c r="C26" s="208">
        <f>+Oasis!D40</f>
        <v>49917</v>
      </c>
      <c r="D26" s="396">
        <f>+Oasis!B40</f>
        <v>37145</v>
      </c>
      <c r="E26" s="32" t="s">
        <v>87</v>
      </c>
      <c r="F26" s="32" t="s">
        <v>105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3.5" customHeight="1" x14ac:dyDescent="0.25">
      <c r="A27" s="372" t="s">
        <v>132</v>
      </c>
      <c r="B27" s="373">
        <f>+Calpine!D41</f>
        <v>96412.459999999992</v>
      </c>
      <c r="C27" s="208">
        <f t="shared" ref="C27:C32" si="1">+B27/$H$4</f>
        <v>47493.822660098522</v>
      </c>
      <c r="D27" s="395">
        <f>+Calpine!A41</f>
        <v>37146</v>
      </c>
      <c r="E27" s="206" t="s">
        <v>88</v>
      </c>
      <c r="F27" s="206" t="s">
        <v>102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13.5" customHeight="1" x14ac:dyDescent="0.25">
      <c r="A28" s="253" t="s">
        <v>85</v>
      </c>
      <c r="B28" s="373">
        <f>+PNM!$D$23</f>
        <v>85615.260000000009</v>
      </c>
      <c r="C28" s="285">
        <f t="shared" si="1"/>
        <v>42175.004926108384</v>
      </c>
      <c r="D28" s="396">
        <f>+PNM!A23</f>
        <v>37145</v>
      </c>
      <c r="E28" s="32" t="s">
        <v>88</v>
      </c>
      <c r="F28" s="32" t="s">
        <v>118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3.5" customHeight="1" x14ac:dyDescent="0.25">
      <c r="A29" s="253" t="s">
        <v>106</v>
      </c>
      <c r="B29" s="373">
        <f>+EOG!J41</f>
        <v>71037.61</v>
      </c>
      <c r="C29" s="285">
        <f t="shared" si="1"/>
        <v>34993.896551724145</v>
      </c>
      <c r="D29" s="395">
        <f>+EOG!A41</f>
        <v>37144</v>
      </c>
      <c r="E29" s="32" t="s">
        <v>88</v>
      </c>
      <c r="F29" s="32" t="s">
        <v>105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13.5" customHeight="1" x14ac:dyDescent="0.25">
      <c r="A30" s="253" t="s">
        <v>136</v>
      </c>
      <c r="B30" s="373">
        <f>+SidR!D41</f>
        <v>52857.93</v>
      </c>
      <c r="C30" s="285">
        <f t="shared" si="1"/>
        <v>26038.38916256158</v>
      </c>
      <c r="D30" s="396">
        <f>+SidR!A41</f>
        <v>37145</v>
      </c>
      <c r="E30" s="32" t="s">
        <v>88</v>
      </c>
      <c r="F30" s="32" t="s">
        <v>105</v>
      </c>
      <c r="G30" s="32" t="s">
        <v>168</v>
      </c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ht="12.9" customHeight="1" x14ac:dyDescent="0.25">
      <c r="A31" s="253" t="s">
        <v>131</v>
      </c>
      <c r="B31" s="373">
        <f>+DEFS!F53</f>
        <v>31736.30999999959</v>
      </c>
      <c r="C31" s="208">
        <f t="shared" si="1"/>
        <v>15633.650246305218</v>
      </c>
      <c r="D31" s="396">
        <f>+DEFS!A40</f>
        <v>37144</v>
      </c>
      <c r="E31" s="32" t="s">
        <v>88</v>
      </c>
      <c r="F31" s="32" t="s">
        <v>103</v>
      </c>
      <c r="G31" s="32" t="s">
        <v>121</v>
      </c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s="304" customFormat="1" ht="12.9" customHeight="1" x14ac:dyDescent="0.25">
      <c r="A32" s="372" t="s">
        <v>74</v>
      </c>
      <c r="B32" s="374">
        <f>+transcol!$D$43</f>
        <v>31633.19</v>
      </c>
      <c r="C32" s="375">
        <f t="shared" si="1"/>
        <v>15582.85221674877</v>
      </c>
      <c r="D32" s="395">
        <f>+transcol!A43</f>
        <v>37145</v>
      </c>
      <c r="E32" s="206" t="s">
        <v>88</v>
      </c>
      <c r="F32" s="206" t="s">
        <v>118</v>
      </c>
      <c r="H32" s="206"/>
      <c r="I32" s="206"/>
      <c r="J32" s="206"/>
      <c r="K32" s="206"/>
      <c r="L32" s="206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</row>
    <row r="33" spans="1:32" ht="13.5" customHeight="1" x14ac:dyDescent="0.25">
      <c r="A33" s="372" t="s">
        <v>98</v>
      </c>
      <c r="B33" s="373">
        <f>+burlington!D42</f>
        <v>6363.2</v>
      </c>
      <c r="C33" s="285">
        <f>+B33/$H$3</f>
        <v>3280</v>
      </c>
      <c r="D33" s="395">
        <f>+burlington!A42</f>
        <v>37145</v>
      </c>
      <c r="E33" s="206" t="s">
        <v>88</v>
      </c>
      <c r="F33" s="32" t="s">
        <v>116</v>
      </c>
      <c r="G33" s="32" t="s">
        <v>150</v>
      </c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5" customHeight="1" x14ac:dyDescent="0.25">
      <c r="A34" s="372" t="s">
        <v>112</v>
      </c>
      <c r="B34" s="376">
        <f>+Continental!F43</f>
        <v>6269.89</v>
      </c>
      <c r="C34" s="377">
        <f>+B34/$H$4</f>
        <v>3088.6157635467985</v>
      </c>
      <c r="D34" s="395">
        <f>+Continental!A43</f>
        <v>37145</v>
      </c>
      <c r="E34" s="206" t="s">
        <v>88</v>
      </c>
      <c r="F34" s="206" t="s">
        <v>118</v>
      </c>
      <c r="G34" s="206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8" customHeight="1" x14ac:dyDescent="0.25">
      <c r="A35" s="32" t="s">
        <v>99</v>
      </c>
      <c r="B35" s="47">
        <f>SUM(B8:B34)</f>
        <v>5997796.0699999984</v>
      </c>
      <c r="C35" s="69">
        <f>SUM(C8:C34)</f>
        <v>2977045.7832512315</v>
      </c>
      <c r="D35" s="205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5">
      <c r="A36" s="32"/>
      <c r="B36" s="47"/>
      <c r="C36" s="69"/>
      <c r="D36" s="205"/>
      <c r="E36" s="32"/>
      <c r="F36" s="378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5" customHeight="1" x14ac:dyDescent="0.25">
      <c r="A37" s="355" t="s">
        <v>92</v>
      </c>
      <c r="B37" s="356" t="s">
        <v>17</v>
      </c>
      <c r="C37" s="357" t="s">
        <v>0</v>
      </c>
      <c r="D37" s="366" t="s">
        <v>153</v>
      </c>
      <c r="E37" s="355" t="s">
        <v>93</v>
      </c>
      <c r="F37" s="358" t="s">
        <v>104</v>
      </c>
      <c r="G37" s="355" t="s">
        <v>101</v>
      </c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2.9" customHeight="1" x14ac:dyDescent="0.25">
      <c r="A38" s="372" t="s">
        <v>140</v>
      </c>
      <c r="B38" s="373">
        <f>+Citizens!D18</f>
        <v>-683291.37</v>
      </c>
      <c r="C38" s="208">
        <f>+B38/$H$4</f>
        <v>-336596.73399014783</v>
      </c>
      <c r="D38" s="395">
        <f>+Citizens!A18</f>
        <v>37145</v>
      </c>
      <c r="E38" s="206" t="s">
        <v>88</v>
      </c>
      <c r="F38" s="206" t="s">
        <v>102</v>
      </c>
      <c r="G38" s="379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2.9" customHeight="1" x14ac:dyDescent="0.25">
      <c r="A39" s="253" t="s">
        <v>138</v>
      </c>
      <c r="B39" s="373">
        <f>+'NS Steel'!D41</f>
        <v>-433759.02</v>
      </c>
      <c r="C39" s="208">
        <f>+B39/$H$4</f>
        <v>-213674.39408866997</v>
      </c>
      <c r="D39" s="396">
        <f>+'NS Steel'!A41</f>
        <v>37145</v>
      </c>
      <c r="E39" s="32" t="s">
        <v>88</v>
      </c>
      <c r="F39" s="32" t="s">
        <v>103</v>
      </c>
      <c r="G39" s="379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2.9" customHeight="1" x14ac:dyDescent="0.25">
      <c r="A40" s="253" t="s">
        <v>144</v>
      </c>
      <c r="B40" s="373">
        <f>+'Citizens-Griffith'!D41</f>
        <v>-111576.32000000001</v>
      </c>
      <c r="C40" s="285">
        <f>+B40/$H$4</f>
        <v>-54963.704433497544</v>
      </c>
      <c r="D40" s="395">
        <f>+'Citizens-Griffith'!A41</f>
        <v>37145</v>
      </c>
      <c r="E40" s="32" t="s">
        <v>88</v>
      </c>
      <c r="F40" s="32" t="s">
        <v>102</v>
      </c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2.9" customHeight="1" x14ac:dyDescent="0.25">
      <c r="A41" s="253" t="s">
        <v>34</v>
      </c>
      <c r="B41" s="373">
        <f>+'El Paso'!C39*summary!H4+'El Paso'!E39*summary!H3</f>
        <v>-28947.919999999998</v>
      </c>
      <c r="C41" s="285">
        <f>+'El Paso'!H39</f>
        <v>-17902</v>
      </c>
      <c r="D41" s="396">
        <f>+'El Paso'!A39</f>
        <v>37145</v>
      </c>
      <c r="E41" s="32" t="s">
        <v>87</v>
      </c>
      <c r="F41" s="32" t="s">
        <v>103</v>
      </c>
      <c r="G41" s="32" t="s">
        <v>122</v>
      </c>
      <c r="H41" s="206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3.5" customHeight="1" x14ac:dyDescent="0.25">
      <c r="A42" s="253" t="s">
        <v>134</v>
      </c>
      <c r="B42" s="376">
        <f>+EPFS!D41</f>
        <v>-6383.6000000000022</v>
      </c>
      <c r="C42" s="377">
        <f>+B42/$H$5</f>
        <v>-3083.8647342995182</v>
      </c>
      <c r="D42" s="395">
        <f>+EPFS!A41</f>
        <v>37145</v>
      </c>
      <c r="E42" s="32" t="s">
        <v>88</v>
      </c>
      <c r="F42" s="32" t="s">
        <v>105</v>
      </c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5" customHeight="1" x14ac:dyDescent="0.25">
      <c r="A43" s="32" t="s">
        <v>100</v>
      </c>
      <c r="B43" s="373">
        <f>SUM(B38:B42)</f>
        <v>-1263958.2300000002</v>
      </c>
      <c r="C43" s="208">
        <f>SUM(C38:C42)</f>
        <v>-626220.69724661484</v>
      </c>
      <c r="D43" s="380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2.9" customHeight="1" x14ac:dyDescent="0.25">
      <c r="A44" s="32"/>
      <c r="B44" s="376"/>
      <c r="C44" s="71"/>
      <c r="D44" s="20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3.8" thickBot="1" x14ac:dyDescent="0.3">
      <c r="A45" s="2" t="s">
        <v>94</v>
      </c>
      <c r="B45" s="381">
        <f>+B43+B35</f>
        <v>4733837.839999998</v>
      </c>
      <c r="C45" s="382">
        <f>+C43+C35</f>
        <v>2350825.0860046167</v>
      </c>
      <c r="D45" s="20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3.8" thickTop="1" x14ac:dyDescent="0.25">
      <c r="A46" s="32"/>
      <c r="B46" s="47"/>
      <c r="C46" s="69"/>
      <c r="D46" s="20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x14ac:dyDescent="0.25">
      <c r="A47" s="2" t="s">
        <v>95</v>
      </c>
      <c r="B47" s="47"/>
      <c r="C47" s="305"/>
      <c r="D47" s="20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x14ac:dyDescent="0.25">
      <c r="A48" s="32"/>
      <c r="B48" s="47"/>
      <c r="C48" s="69"/>
      <c r="D48" s="20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x14ac:dyDescent="0.25">
      <c r="A49" s="32"/>
      <c r="B49" s="47"/>
      <c r="C49" s="69"/>
      <c r="D49" s="20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x14ac:dyDescent="0.25">
      <c r="A50" s="32"/>
      <c r="B50" s="47"/>
      <c r="C50" s="69"/>
      <c r="D50" s="20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x14ac:dyDescent="0.25">
      <c r="A51" s="32"/>
      <c r="B51" s="47"/>
      <c r="C51" s="69"/>
      <c r="D51" s="20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x14ac:dyDescent="0.25">
      <c r="A52" s="32"/>
      <c r="B52" s="47"/>
      <c r="C52" s="69"/>
      <c r="D52" s="20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x14ac:dyDescent="0.25">
      <c r="A53" s="32"/>
      <c r="B53" s="47"/>
      <c r="C53" s="14"/>
      <c r="D53" s="205"/>
      <c r="E53" s="136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5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5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5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5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5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5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5">
      <c r="A60" s="32"/>
      <c r="B60" s="383"/>
      <c r="C60" s="384"/>
      <c r="D60" s="20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5">
      <c r="A61" s="32"/>
      <c r="B61" s="14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5">
      <c r="A62" s="32"/>
      <c r="B62" s="14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5">
      <c r="A63" s="32"/>
      <c r="B63" s="14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5">
      <c r="A64" s="32"/>
      <c r="B64" s="14"/>
      <c r="C64" s="69"/>
      <c r="D64" s="385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5">
      <c r="A65" s="32"/>
      <c r="B65" s="14"/>
      <c r="C65" s="305"/>
      <c r="D65" s="20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5">
      <c r="A66" s="32"/>
      <c r="B66" s="14"/>
      <c r="C66" s="305"/>
      <c r="D66" s="386"/>
      <c r="E66" s="387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5">
      <c r="A67" s="32"/>
      <c r="B67" s="14"/>
      <c r="C67" s="305"/>
      <c r="D67" s="388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5">
      <c r="A68" s="32"/>
      <c r="B68" s="14"/>
      <c r="C68" s="305"/>
      <c r="D68" s="388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5">
      <c r="A69" s="32"/>
      <c r="B69" s="14"/>
      <c r="C69" s="305"/>
      <c r="D69" s="389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5">
      <c r="A70" s="32"/>
      <c r="B70" s="14"/>
      <c r="C70" s="305"/>
      <c r="D70" s="390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5">
      <c r="A71" s="32"/>
      <c r="B71" s="391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5">
      <c r="A72" s="32"/>
      <c r="B72" s="391"/>
      <c r="C72" s="69"/>
      <c r="D72" s="385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5">
      <c r="A73" s="32"/>
      <c r="B73" s="392"/>
      <c r="C73" s="14"/>
      <c r="D73" s="205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5">
      <c r="A74" s="32"/>
      <c r="B74" s="392"/>
      <c r="C74" s="14"/>
      <c r="D74" s="205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5">
      <c r="A75" s="32"/>
      <c r="B75" s="391"/>
      <c r="C75" s="14"/>
      <c r="D75" s="385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5">
      <c r="A76" s="32"/>
      <c r="B76" s="391"/>
      <c r="C76" s="69"/>
      <c r="D76" s="385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5">
      <c r="A77" s="32"/>
      <c r="B77" s="391"/>
      <c r="C77" s="69"/>
      <c r="D77" s="205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5">
      <c r="A78" s="32"/>
      <c r="B78" s="383"/>
      <c r="C78" s="393"/>
      <c r="D78" s="205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5">
      <c r="A79" s="32"/>
      <c r="B79" s="47"/>
      <c r="C79" s="69"/>
      <c r="D79" s="205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5">
      <c r="A80" s="32"/>
      <c r="B80" s="47"/>
      <c r="C80" s="69"/>
      <c r="D80" s="205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5">
      <c r="A81" s="32"/>
      <c r="B81" s="47"/>
      <c r="C81" s="69"/>
      <c r="D81" s="205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5">
      <c r="A82" s="32"/>
      <c r="B82" s="47"/>
      <c r="C82" s="69"/>
      <c r="D82" s="205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5">
      <c r="A83" s="32"/>
      <c r="B83" s="47"/>
      <c r="C83" s="69"/>
      <c r="D83" s="205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5">
      <c r="A84" s="32"/>
      <c r="B84" s="47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5">
      <c r="A85" s="32"/>
      <c r="B85" s="47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5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5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5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5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5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5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5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5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5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5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5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5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5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5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5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5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5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5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5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5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5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5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5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5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5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5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5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5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5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5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5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5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5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5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5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5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5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5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5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5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5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5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5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5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5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5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5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5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5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5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5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5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5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5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5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5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5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5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5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5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5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5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5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5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5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5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5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5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5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5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5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5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5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5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5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5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5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5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5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5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5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5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5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5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5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5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5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5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5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5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5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5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5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5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5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5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5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5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5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5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5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5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5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5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5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5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5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5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5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5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5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5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5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5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5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5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5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5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5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5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5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5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5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5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5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5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5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5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5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5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5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5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5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5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5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5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5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5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5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5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5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5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5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5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5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5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5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5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5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5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5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5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5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5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5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5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5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5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5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5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5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5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5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5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5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5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5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5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5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5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5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5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5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5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5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5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5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5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5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5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5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5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5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5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5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5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5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5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5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5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5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5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5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5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5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5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5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5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5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5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5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5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5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5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5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5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5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5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5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5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5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5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5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5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5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5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5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5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5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5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5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5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5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5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5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5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5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5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5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5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5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5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5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5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5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5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5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5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5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5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5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5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5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5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5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5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5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5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5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5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5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5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5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5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5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5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5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5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5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5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5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5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5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5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5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5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5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5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5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5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5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topLeftCell="A4" workbookViewId="3">
      <selection activeCell="B12" sqref="B12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8" ht="13.2" x14ac:dyDescent="0.25">
      <c r="A4" s="34" t="s">
        <v>90</v>
      </c>
      <c r="B4" s="69"/>
      <c r="C4" s="291"/>
      <c r="D4" s="69"/>
    </row>
    <row r="5" spans="1:8" x14ac:dyDescent="0.2">
      <c r="B5" s="292" t="s">
        <v>20</v>
      </c>
      <c r="C5" s="292" t="s">
        <v>21</v>
      </c>
      <c r="D5" s="293" t="s">
        <v>51</v>
      </c>
    </row>
    <row r="6" spans="1:8" x14ac:dyDescent="0.2">
      <c r="A6" s="32">
        <v>1635</v>
      </c>
      <c r="B6" s="344">
        <v>-259331</v>
      </c>
      <c r="C6" s="80"/>
      <c r="D6" s="80">
        <f t="shared" ref="D6:D14" si="0">+C6-B6</f>
        <v>259331</v>
      </c>
    </row>
    <row r="7" spans="1:8" x14ac:dyDescent="0.2">
      <c r="A7" s="32">
        <v>3531</v>
      </c>
      <c r="B7" s="323">
        <v>-319498</v>
      </c>
      <c r="C7" s="80">
        <v>-149371</v>
      </c>
      <c r="D7" s="80">
        <f t="shared" si="0"/>
        <v>170127</v>
      </c>
    </row>
    <row r="8" spans="1:8" x14ac:dyDescent="0.2">
      <c r="A8" s="32">
        <v>60667</v>
      </c>
      <c r="B8" s="323">
        <v>-56869</v>
      </c>
      <c r="C8" s="80">
        <v>-13597</v>
      </c>
      <c r="D8" s="80">
        <f t="shared" si="0"/>
        <v>43272</v>
      </c>
      <c r="H8" s="254"/>
    </row>
    <row r="9" spans="1:8" x14ac:dyDescent="0.2">
      <c r="A9" s="32">
        <v>60749</v>
      </c>
      <c r="B9" s="323">
        <v>493050</v>
      </c>
      <c r="C9" s="80">
        <v>99846</v>
      </c>
      <c r="D9" s="80">
        <f t="shared" si="0"/>
        <v>-393204</v>
      </c>
      <c r="H9" s="254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4"/>
    </row>
    <row r="11" spans="1:8" x14ac:dyDescent="0.2">
      <c r="A11" s="32">
        <v>61334</v>
      </c>
      <c r="B11" s="323"/>
      <c r="C11" s="80"/>
      <c r="D11" s="80">
        <f t="shared" si="0"/>
        <v>0</v>
      </c>
      <c r="H11" s="254"/>
    </row>
    <row r="12" spans="1:8" x14ac:dyDescent="0.2">
      <c r="A12" s="32">
        <v>62960</v>
      </c>
      <c r="B12" s="323"/>
      <c r="C12" s="80"/>
      <c r="D12" s="80">
        <f t="shared" si="0"/>
        <v>0</v>
      </c>
      <c r="H12" s="254"/>
    </row>
    <row r="13" spans="1:8" x14ac:dyDescent="0.2">
      <c r="A13" s="294"/>
      <c r="B13" s="80"/>
      <c r="C13" s="80"/>
      <c r="D13" s="80">
        <f t="shared" si="0"/>
        <v>0</v>
      </c>
      <c r="H13" s="254"/>
    </row>
    <row r="14" spans="1:8" x14ac:dyDescent="0.2">
      <c r="B14" s="80"/>
      <c r="C14" s="80"/>
      <c r="D14" s="80">
        <f t="shared" si="0"/>
        <v>0</v>
      </c>
      <c r="H14" s="254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79526</v>
      </c>
    </row>
    <row r="19" spans="1:5" x14ac:dyDescent="0.2">
      <c r="A19" s="32" t="s">
        <v>84</v>
      </c>
      <c r="B19" s="69"/>
      <c r="C19" s="69"/>
      <c r="D19" s="73">
        <f>+summary!H4</f>
        <v>2.0299999999999998</v>
      </c>
    </row>
    <row r="20" spans="1:5" x14ac:dyDescent="0.2">
      <c r="B20" s="69"/>
      <c r="C20" s="69"/>
      <c r="D20" s="75">
        <f>+D19*D18</f>
        <v>161437.78</v>
      </c>
    </row>
    <row r="21" spans="1:5" x14ac:dyDescent="0.2">
      <c r="B21" s="69"/>
      <c r="C21" s="80"/>
      <c r="D21" s="298"/>
      <c r="E21" s="254"/>
    </row>
    <row r="22" spans="1:5" x14ac:dyDescent="0.2">
      <c r="A22" s="49">
        <v>37134</v>
      </c>
      <c r="B22" s="69"/>
      <c r="C22" s="80"/>
      <c r="D22" s="476">
        <v>400688.32</v>
      </c>
      <c r="E22" s="254"/>
    </row>
    <row r="23" spans="1:5" x14ac:dyDescent="0.2">
      <c r="B23" s="69"/>
      <c r="C23" s="80"/>
      <c r="D23" s="298"/>
      <c r="E23" s="254"/>
    </row>
    <row r="24" spans="1:5" ht="10.8" thickBot="1" x14ac:dyDescent="0.25">
      <c r="A24" s="49">
        <v>37145</v>
      </c>
      <c r="B24" s="69"/>
      <c r="C24" s="69"/>
      <c r="D24" s="351">
        <f>+D22+D20</f>
        <v>562126.1</v>
      </c>
      <c r="E24" s="254"/>
    </row>
    <row r="25" spans="1:5" ht="10.8" thickTop="1" x14ac:dyDescent="0.2">
      <c r="B25" s="69"/>
      <c r="C25" s="69"/>
      <c r="D25" s="69"/>
      <c r="E25" s="254"/>
    </row>
    <row r="31" spans="1:5" x14ac:dyDescent="0.2">
      <c r="A31" s="32" t="s">
        <v>157</v>
      </c>
    </row>
    <row r="32" spans="1:5" x14ac:dyDescent="0.2">
      <c r="A32" s="49">
        <f>+A22</f>
        <v>37134</v>
      </c>
      <c r="D32" s="212">
        <v>-29477</v>
      </c>
    </row>
    <row r="33" spans="1:4" x14ac:dyDescent="0.2">
      <c r="A33" s="49">
        <f>+A24</f>
        <v>37145</v>
      </c>
      <c r="D33" s="377">
        <f>+D18</f>
        <v>79526</v>
      </c>
    </row>
    <row r="34" spans="1:4" x14ac:dyDescent="0.2">
      <c r="D34" s="14">
        <f>+D33+D32</f>
        <v>50049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topLeftCell="A2" workbookViewId="3">
      <selection activeCell="C9" sqref="C9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86</v>
      </c>
      <c r="B3" s="88"/>
      <c r="C3" s="265"/>
      <c r="D3" s="88"/>
    </row>
    <row r="4" spans="1:13" x14ac:dyDescent="0.25">
      <c r="A4" s="87"/>
      <c r="B4" s="261" t="s">
        <v>20</v>
      </c>
      <c r="C4" s="261" t="s">
        <v>21</v>
      </c>
      <c r="D4" s="262" t="s">
        <v>51</v>
      </c>
    </row>
    <row r="5" spans="1:13" x14ac:dyDescent="0.25">
      <c r="A5" s="87">
        <v>9236</v>
      </c>
      <c r="B5" s="364">
        <v>-20562</v>
      </c>
      <c r="C5" s="90">
        <v>-12552</v>
      </c>
      <c r="D5" s="90">
        <f t="shared" ref="D5:D13" si="0">+C5-B5</f>
        <v>8010</v>
      </c>
      <c r="E5" s="69"/>
      <c r="F5" s="70"/>
    </row>
    <row r="6" spans="1:13" x14ac:dyDescent="0.25">
      <c r="A6" s="87">
        <v>9238</v>
      </c>
      <c r="B6" s="319"/>
      <c r="C6" s="90"/>
      <c r="D6" s="90">
        <f t="shared" si="0"/>
        <v>0</v>
      </c>
      <c r="E6" s="285"/>
      <c r="F6" s="70"/>
      <c r="K6" s="65">
        <v>36531</v>
      </c>
      <c r="L6" t="s">
        <v>25</v>
      </c>
      <c r="M6">
        <v>0.5</v>
      </c>
    </row>
    <row r="7" spans="1:13" x14ac:dyDescent="0.25">
      <c r="A7" s="87">
        <v>56422</v>
      </c>
      <c r="B7" s="364">
        <v>-1381896</v>
      </c>
      <c r="C7" s="90">
        <v>-1322019</v>
      </c>
      <c r="D7" s="90">
        <f t="shared" si="0"/>
        <v>59877</v>
      </c>
      <c r="E7" s="285"/>
      <c r="F7" s="70"/>
    </row>
    <row r="8" spans="1:13" x14ac:dyDescent="0.25">
      <c r="A8" s="87">
        <v>58710</v>
      </c>
      <c r="B8" s="364">
        <v>-2</v>
      </c>
      <c r="C8" s="90">
        <v>-506</v>
      </c>
      <c r="D8" s="90">
        <f t="shared" si="0"/>
        <v>-504</v>
      </c>
      <c r="E8" s="285"/>
      <c r="F8" s="70"/>
    </row>
    <row r="9" spans="1:13" x14ac:dyDescent="0.25">
      <c r="A9" s="87">
        <v>60921</v>
      </c>
      <c r="B9" s="319">
        <v>725660</v>
      </c>
      <c r="C9" s="90">
        <v>598111</v>
      </c>
      <c r="D9" s="90">
        <f t="shared" si="0"/>
        <v>-127549</v>
      </c>
      <c r="E9" s="285"/>
      <c r="F9" s="70"/>
    </row>
    <row r="10" spans="1:13" x14ac:dyDescent="0.25">
      <c r="A10" s="87">
        <v>78026</v>
      </c>
      <c r="B10" s="364"/>
      <c r="C10" s="90">
        <v>39947</v>
      </c>
      <c r="D10" s="90">
        <f t="shared" si="0"/>
        <v>39947</v>
      </c>
      <c r="E10" s="285"/>
      <c r="F10" s="283"/>
    </row>
    <row r="11" spans="1:13" x14ac:dyDescent="0.25">
      <c r="A11" s="87">
        <v>500084</v>
      </c>
      <c r="B11" s="364">
        <v>-5999</v>
      </c>
      <c r="C11" s="90">
        <v>-11000</v>
      </c>
      <c r="D11" s="90">
        <f t="shared" si="0"/>
        <v>-5001</v>
      </c>
      <c r="E11" s="286"/>
      <c r="F11" s="283"/>
    </row>
    <row r="12" spans="1:13" x14ac:dyDescent="0.25">
      <c r="A12" s="333">
        <v>500085</v>
      </c>
      <c r="B12" s="364"/>
      <c r="C12" s="90"/>
      <c r="D12" s="90">
        <f t="shared" si="0"/>
        <v>0</v>
      </c>
      <c r="E12" s="285"/>
      <c r="F12" s="283"/>
    </row>
    <row r="13" spans="1:13" x14ac:dyDescent="0.25">
      <c r="A13" s="87">
        <v>500097</v>
      </c>
      <c r="B13" s="336">
        <v>-3741</v>
      </c>
      <c r="C13" s="90"/>
      <c r="D13" s="90">
        <f t="shared" si="0"/>
        <v>3741</v>
      </c>
      <c r="E13" s="285"/>
      <c r="F13" s="283"/>
    </row>
    <row r="14" spans="1:13" x14ac:dyDescent="0.25">
      <c r="A14" s="87"/>
      <c r="B14" s="90"/>
      <c r="C14" s="90"/>
      <c r="D14" s="90"/>
      <c r="E14" s="285"/>
      <c r="F14" s="283"/>
    </row>
    <row r="15" spans="1:13" x14ac:dyDescent="0.25">
      <c r="A15" s="87"/>
      <c r="B15" s="90"/>
      <c r="C15" s="90"/>
      <c r="D15" s="90"/>
      <c r="E15" s="285"/>
      <c r="F15" s="283"/>
    </row>
    <row r="16" spans="1:13" x14ac:dyDescent="0.25">
      <c r="A16" s="87"/>
      <c r="B16" s="88"/>
      <c r="C16" s="88"/>
      <c r="D16" s="94"/>
      <c r="E16" s="285"/>
      <c r="F16" s="283"/>
    </row>
    <row r="17" spans="1:7" x14ac:dyDescent="0.25">
      <c r="A17" s="87"/>
      <c r="B17" s="88"/>
      <c r="C17" s="88"/>
      <c r="D17" s="88">
        <f>SUM(D5:D16)</f>
        <v>-21479</v>
      </c>
      <c r="E17" s="285"/>
      <c r="F17" s="283"/>
    </row>
    <row r="18" spans="1:7" x14ac:dyDescent="0.25">
      <c r="A18" s="87" t="s">
        <v>84</v>
      </c>
      <c r="B18" s="88"/>
      <c r="C18" s="88"/>
      <c r="D18" s="95">
        <f>+summary!H4</f>
        <v>2.0299999999999998</v>
      </c>
      <c r="E18" s="287"/>
      <c r="F18" s="283"/>
    </row>
    <row r="19" spans="1:7" x14ac:dyDescent="0.25">
      <c r="A19" s="87"/>
      <c r="B19" s="88"/>
      <c r="C19" s="88"/>
      <c r="D19" s="96">
        <f>+D18*D17</f>
        <v>-43602.369999999995</v>
      </c>
      <c r="E19" s="209"/>
      <c r="F19" s="284"/>
    </row>
    <row r="20" spans="1:7" x14ac:dyDescent="0.25">
      <c r="A20" s="87"/>
      <c r="B20" s="88"/>
      <c r="C20" s="88"/>
      <c r="D20" s="96"/>
      <c r="E20" s="209"/>
      <c r="F20" s="74"/>
    </row>
    <row r="21" spans="1:7" x14ac:dyDescent="0.25">
      <c r="A21" s="99">
        <v>37134</v>
      </c>
      <c r="B21" s="88"/>
      <c r="C21" s="88"/>
      <c r="D21" s="483">
        <v>129217.63</v>
      </c>
      <c r="E21" s="209"/>
      <c r="F21" s="66"/>
    </row>
    <row r="22" spans="1:7" x14ac:dyDescent="0.25">
      <c r="A22" s="87"/>
      <c r="B22" s="88"/>
      <c r="C22" s="88"/>
      <c r="D22" s="322"/>
      <c r="E22" s="209"/>
      <c r="F22" s="66"/>
    </row>
    <row r="23" spans="1:7" ht="13.8" thickBot="1" x14ac:dyDescent="0.3">
      <c r="A23" s="99">
        <v>37145</v>
      </c>
      <c r="B23" s="88"/>
      <c r="C23" s="88"/>
      <c r="D23" s="334">
        <f>+D21+D19</f>
        <v>85615.260000000009</v>
      </c>
      <c r="E23" s="209"/>
      <c r="F23" s="66"/>
    </row>
    <row r="24" spans="1:7" ht="13.8" thickTop="1" x14ac:dyDescent="0.25">
      <c r="E24" s="288"/>
    </row>
    <row r="25" spans="1:7" x14ac:dyDescent="0.25">
      <c r="E25" s="288"/>
    </row>
    <row r="27" spans="1:7" x14ac:dyDescent="0.25">
      <c r="A27" s="32" t="s">
        <v>157</v>
      </c>
      <c r="B27" s="32"/>
      <c r="C27" s="32"/>
      <c r="D27" s="32"/>
    </row>
    <row r="28" spans="1:7" x14ac:dyDescent="0.25">
      <c r="A28" s="49">
        <f>+A21</f>
        <v>37134</v>
      </c>
      <c r="B28" s="32"/>
      <c r="C28" s="32"/>
      <c r="D28" s="477">
        <v>7128</v>
      </c>
    </row>
    <row r="29" spans="1:7" x14ac:dyDescent="0.25">
      <c r="A29" s="49">
        <f>+A23</f>
        <v>37145</v>
      </c>
      <c r="B29" s="32"/>
      <c r="C29" s="32"/>
      <c r="D29" s="377">
        <f>+D17</f>
        <v>-21479</v>
      </c>
    </row>
    <row r="30" spans="1:7" x14ac:dyDescent="0.25">
      <c r="A30" s="32"/>
      <c r="B30" s="32"/>
      <c r="C30" s="32"/>
      <c r="D30" s="14">
        <f>+D29+D28</f>
        <v>-14351</v>
      </c>
    </row>
    <row r="31" spans="1:7" x14ac:dyDescent="0.25">
      <c r="A31" s="139"/>
      <c r="B31" s="119"/>
      <c r="C31" s="140"/>
      <c r="D31" s="140"/>
    </row>
    <row r="32" spans="1:7" x14ac:dyDescent="0.25">
      <c r="B32" s="69"/>
      <c r="C32" s="69"/>
      <c r="D32" s="69"/>
      <c r="E32" s="70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305"/>
      <c r="E36" s="69"/>
      <c r="F36" s="70"/>
      <c r="G36" s="32"/>
    </row>
    <row r="37" spans="1:7" x14ac:dyDescent="0.25">
      <c r="B37" s="69"/>
      <c r="C37" s="69"/>
      <c r="D37" s="305"/>
      <c r="E37" s="69"/>
      <c r="F37" s="70"/>
      <c r="G37" s="32"/>
    </row>
    <row r="38" spans="1:7" x14ac:dyDescent="0.25">
      <c r="B38" s="69"/>
      <c r="C38" s="69"/>
      <c r="D38" s="305"/>
      <c r="E38" s="69"/>
      <c r="F38" s="70"/>
      <c r="G38" s="32"/>
    </row>
    <row r="39" spans="1:7" x14ac:dyDescent="0.25">
      <c r="B39" s="69"/>
      <c r="C39" s="69"/>
      <c r="D39" s="305"/>
      <c r="E39" s="69"/>
      <c r="F39" s="70"/>
      <c r="G39" s="32"/>
    </row>
    <row r="40" spans="1:7" x14ac:dyDescent="0.25">
      <c r="B40" s="69"/>
      <c r="C40" s="69"/>
      <c r="D40" s="305"/>
      <c r="E40" s="69"/>
      <c r="F40" s="70"/>
      <c r="G40" s="32"/>
    </row>
    <row r="41" spans="1:7" x14ac:dyDescent="0.25">
      <c r="B41" s="69"/>
      <c r="C41" s="69"/>
      <c r="D41" s="305"/>
      <c r="E41" s="69"/>
      <c r="F41" s="70"/>
      <c r="G41" s="32"/>
    </row>
    <row r="42" spans="1:7" x14ac:dyDescent="0.25">
      <c r="B42" s="69"/>
      <c r="C42" s="69"/>
      <c r="D42" s="305"/>
      <c r="E42" s="69"/>
      <c r="F42" s="70"/>
      <c r="G42" s="32"/>
    </row>
    <row r="43" spans="1:7" x14ac:dyDescent="0.25">
      <c r="B43" s="69"/>
      <c r="C43" s="69"/>
      <c r="D43" s="305"/>
      <c r="E43" s="69"/>
      <c r="F43" s="70"/>
      <c r="G43" s="32"/>
    </row>
    <row r="44" spans="1:7" x14ac:dyDescent="0.25">
      <c r="B44" s="69"/>
      <c r="C44" s="69"/>
      <c r="D44" s="306"/>
      <c r="E44" s="285"/>
      <c r="F44" s="283"/>
      <c r="G44" s="206"/>
    </row>
    <row r="45" spans="1:7" x14ac:dyDescent="0.25">
      <c r="B45" s="69"/>
      <c r="C45" s="69"/>
      <c r="D45" s="306"/>
      <c r="E45" s="285"/>
      <c r="F45" s="283"/>
      <c r="G45" s="206"/>
    </row>
    <row r="46" spans="1:7" x14ac:dyDescent="0.25">
      <c r="A46" s="32"/>
      <c r="B46" s="69"/>
      <c r="C46" s="69"/>
      <c r="D46" s="285"/>
      <c r="E46" s="285"/>
      <c r="F46" s="283"/>
      <c r="G46" s="206"/>
    </row>
    <row r="47" spans="1:7" x14ac:dyDescent="0.25">
      <c r="A47" s="32"/>
      <c r="B47" s="69"/>
      <c r="C47" s="69"/>
      <c r="D47" s="287"/>
      <c r="E47" s="287"/>
      <c r="F47" s="283"/>
      <c r="G47" s="206"/>
    </row>
    <row r="48" spans="1:7" x14ac:dyDescent="0.25">
      <c r="B48" s="69"/>
      <c r="C48" s="69"/>
      <c r="D48" s="285"/>
      <c r="E48" s="285"/>
      <c r="F48" s="284"/>
      <c r="G48" s="206"/>
    </row>
    <row r="49" spans="1:7" x14ac:dyDescent="0.25">
      <c r="B49" s="69"/>
      <c r="C49" s="69"/>
      <c r="D49" s="285"/>
      <c r="E49" s="285"/>
      <c r="F49" s="284"/>
      <c r="G49" s="206"/>
    </row>
    <row r="50" spans="1:7" x14ac:dyDescent="0.25">
      <c r="C50" s="302"/>
      <c r="D50" s="302"/>
      <c r="E50" s="302"/>
      <c r="F50" s="303"/>
      <c r="G50" s="304"/>
    </row>
    <row r="51" spans="1:7" x14ac:dyDescent="0.25">
      <c r="A51" s="32"/>
      <c r="C51" s="302"/>
      <c r="D51" s="302"/>
      <c r="E51" s="302"/>
      <c r="F51" s="303"/>
    </row>
    <row r="52" spans="1:7" x14ac:dyDescent="0.25">
      <c r="A52" s="32"/>
      <c r="C52" s="302"/>
      <c r="D52" s="302"/>
      <c r="E52" s="302"/>
      <c r="F52" s="303"/>
    </row>
    <row r="53" spans="1:7" x14ac:dyDescent="0.25">
      <c r="A53" s="32"/>
      <c r="C53" s="302"/>
      <c r="D53" s="302"/>
      <c r="E53" s="302"/>
      <c r="F53" s="303"/>
    </row>
    <row r="54" spans="1:7" x14ac:dyDescent="0.25">
      <c r="A54" s="32"/>
      <c r="C54" s="302"/>
      <c r="D54" s="302"/>
      <c r="E54" s="302"/>
      <c r="F54" s="303"/>
    </row>
    <row r="55" spans="1:7" x14ac:dyDescent="0.25">
      <c r="A55" s="32"/>
      <c r="C55" s="302"/>
      <c r="D55" s="302"/>
      <c r="E55" s="288"/>
      <c r="F55" s="288"/>
    </row>
    <row r="56" spans="1:7" x14ac:dyDescent="0.25">
      <c r="C56" s="302"/>
      <c r="D56" s="302"/>
      <c r="E56" s="288"/>
      <c r="F56" s="288"/>
    </row>
    <row r="57" spans="1:7" x14ac:dyDescent="0.25">
      <c r="C57" s="302"/>
      <c r="D57" s="302"/>
      <c r="E57" s="288"/>
      <c r="F57" s="288"/>
    </row>
    <row r="82" spans="1:6" x14ac:dyDescent="0.25">
      <c r="B82" s="69"/>
      <c r="C82" s="69"/>
      <c r="D82" s="69"/>
      <c r="E82" s="70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69"/>
      <c r="E90" s="69"/>
      <c r="F90" s="70"/>
    </row>
    <row r="91" spans="1:6" x14ac:dyDescent="0.25">
      <c r="B91" s="69"/>
      <c r="C91" s="69"/>
      <c r="D91" s="69"/>
      <c r="E91" s="69"/>
      <c r="F91" s="70"/>
    </row>
    <row r="92" spans="1:6" x14ac:dyDescent="0.25">
      <c r="B92" s="69"/>
      <c r="C92" s="69"/>
      <c r="D92" s="69"/>
      <c r="E92" s="69"/>
      <c r="F92" s="70"/>
    </row>
    <row r="93" spans="1:6" x14ac:dyDescent="0.25">
      <c r="B93" s="69"/>
      <c r="C93" s="69"/>
      <c r="D93" s="69"/>
      <c r="E93" s="69"/>
      <c r="F93" s="70"/>
    </row>
    <row r="94" spans="1:6" x14ac:dyDescent="0.25">
      <c r="B94" s="69"/>
      <c r="C94" s="69"/>
      <c r="D94" s="69"/>
      <c r="E94" s="69"/>
      <c r="F94" s="70"/>
    </row>
    <row r="95" spans="1:6" x14ac:dyDescent="0.25">
      <c r="B95" s="69"/>
      <c r="C95" s="69"/>
      <c r="D95" s="71"/>
      <c r="E95" s="71"/>
      <c r="F95" s="72"/>
    </row>
    <row r="96" spans="1:6" x14ac:dyDescent="0.25">
      <c r="A96" s="32"/>
      <c r="B96" s="69"/>
      <c r="C96" s="69"/>
      <c r="D96" s="69"/>
      <c r="E96" s="69"/>
      <c r="F96" s="70"/>
    </row>
    <row r="97" spans="1:6" x14ac:dyDescent="0.25">
      <c r="A97" s="32"/>
      <c r="B97" s="69"/>
      <c r="C97" s="69"/>
      <c r="D97" s="73"/>
      <c r="E97" s="73"/>
      <c r="F97" s="70"/>
    </row>
    <row r="98" spans="1:6" x14ac:dyDescent="0.25">
      <c r="B98" s="69"/>
      <c r="C98" s="69"/>
      <c r="D98" s="69"/>
      <c r="E98" s="69"/>
      <c r="F98" s="74"/>
    </row>
    <row r="99" spans="1:6" x14ac:dyDescent="0.25">
      <c r="B99" s="69"/>
      <c r="C99" s="69"/>
      <c r="D99" s="69"/>
      <c r="E99" s="69"/>
      <c r="F99" s="74"/>
    </row>
    <row r="100" spans="1:6" x14ac:dyDescent="0.25">
      <c r="A100" s="32"/>
      <c r="D100" s="67"/>
      <c r="E100" s="67"/>
      <c r="F100" s="66"/>
    </row>
    <row r="101" spans="1:6" x14ac:dyDescent="0.25">
      <c r="A101" s="32"/>
      <c r="E101" s="63"/>
      <c r="F101" s="66"/>
    </row>
    <row r="102" spans="1:6" ht="13.8" thickBot="1" x14ac:dyDescent="0.3">
      <c r="A102" s="32"/>
      <c r="D102" s="68"/>
      <c r="E102" s="68"/>
      <c r="F102" s="66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71"/>
      <c r="E121" s="71"/>
      <c r="F121" s="72"/>
    </row>
    <row r="122" spans="1:6" x14ac:dyDescent="0.25">
      <c r="A122" s="32"/>
      <c r="B122" s="69"/>
      <c r="C122" s="69"/>
      <c r="D122" s="69"/>
      <c r="E122" s="69"/>
      <c r="F122" s="70"/>
    </row>
    <row r="123" spans="1:6" x14ac:dyDescent="0.25">
      <c r="A123" s="32"/>
      <c r="B123" s="69"/>
      <c r="C123" s="69"/>
      <c r="D123" s="73"/>
      <c r="E123" s="73"/>
      <c r="F123" s="70"/>
    </row>
    <row r="124" spans="1:6" x14ac:dyDescent="0.25">
      <c r="B124" s="69"/>
      <c r="C124" s="69"/>
      <c r="D124" s="75"/>
      <c r="E124" s="75"/>
      <c r="F124" s="74"/>
    </row>
    <row r="125" spans="1:6" x14ac:dyDescent="0.25">
      <c r="B125" s="69"/>
      <c r="C125" s="69"/>
      <c r="D125" s="75"/>
      <c r="E125" s="75"/>
      <c r="F125" s="74"/>
    </row>
    <row r="126" spans="1:6" x14ac:dyDescent="0.25">
      <c r="A126" s="32"/>
      <c r="D126" s="76"/>
      <c r="E126" s="76"/>
      <c r="F126" s="66"/>
    </row>
    <row r="127" spans="1:6" x14ac:dyDescent="0.25">
      <c r="A127" s="32"/>
      <c r="D127" s="75"/>
      <c r="E127" s="75"/>
      <c r="F127" s="66"/>
    </row>
    <row r="128" spans="1:6" ht="13.8" thickBot="1" x14ac:dyDescent="0.3">
      <c r="A128" s="32"/>
      <c r="D128" s="77"/>
      <c r="E128" s="77"/>
      <c r="F128" s="66"/>
    </row>
    <row r="129" spans="2:6" ht="13.8" thickTop="1" x14ac:dyDescent="0.25"/>
    <row r="133" spans="2:6" x14ac:dyDescent="0.25">
      <c r="B133" s="69"/>
      <c r="C133" s="69"/>
      <c r="D133" s="69"/>
      <c r="E133" s="70"/>
      <c r="F133" s="70"/>
    </row>
    <row r="134" spans="2:6" x14ac:dyDescent="0.25">
      <c r="B134" s="69"/>
      <c r="C134" s="69"/>
      <c r="D134" s="69"/>
      <c r="E134" s="69"/>
      <c r="F134" s="70"/>
    </row>
    <row r="135" spans="2:6" x14ac:dyDescent="0.25">
      <c r="B135" s="69"/>
      <c r="C135" s="69"/>
      <c r="D135" s="69"/>
      <c r="E135" s="69"/>
      <c r="F135" s="70"/>
    </row>
    <row r="136" spans="2:6" x14ac:dyDescent="0.25">
      <c r="B136" s="69"/>
      <c r="C136" s="69"/>
      <c r="D136" s="69"/>
      <c r="E136" s="69"/>
      <c r="F136" s="70"/>
    </row>
    <row r="137" spans="2:6" x14ac:dyDescent="0.25">
      <c r="B137" s="69"/>
      <c r="C137" s="69"/>
      <c r="D137" s="69"/>
      <c r="E137" s="69"/>
      <c r="F137" s="70"/>
    </row>
    <row r="138" spans="2:6" x14ac:dyDescent="0.25">
      <c r="B138" s="69"/>
      <c r="C138" s="69"/>
      <c r="D138" s="69"/>
      <c r="E138" s="69"/>
      <c r="F138" s="70"/>
    </row>
    <row r="139" spans="2:6" x14ac:dyDescent="0.25">
      <c r="B139" s="69"/>
      <c r="C139" s="69"/>
      <c r="D139" s="69"/>
      <c r="E139" s="69"/>
      <c r="F139" s="70"/>
    </row>
    <row r="140" spans="2:6" x14ac:dyDescent="0.25">
      <c r="B140" s="69"/>
      <c r="C140" s="69"/>
      <c r="D140" s="69"/>
      <c r="E140" s="69"/>
      <c r="F140" s="70"/>
    </row>
    <row r="141" spans="2:6" x14ac:dyDescent="0.25">
      <c r="B141" s="69"/>
      <c r="C141" s="69"/>
      <c r="D141" s="69"/>
      <c r="E141" s="69"/>
      <c r="F141" s="70"/>
    </row>
    <row r="142" spans="2:6" x14ac:dyDescent="0.25">
      <c r="B142" s="69"/>
      <c r="C142" s="69"/>
      <c r="D142" s="69"/>
      <c r="E142" s="69"/>
      <c r="F142" s="70"/>
    </row>
    <row r="143" spans="2:6" x14ac:dyDescent="0.25">
      <c r="B143" s="69"/>
      <c r="C143" s="69"/>
      <c r="D143" s="69"/>
      <c r="E143" s="69"/>
      <c r="F143" s="70"/>
    </row>
    <row r="144" spans="2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71"/>
      <c r="E146" s="71"/>
      <c r="F146" s="72"/>
    </row>
    <row r="147" spans="1:6" x14ac:dyDescent="0.25">
      <c r="A147" s="32"/>
      <c r="B147" s="69"/>
      <c r="C147" s="69"/>
      <c r="D147" s="69"/>
      <c r="E147" s="69"/>
      <c r="F147" s="70"/>
    </row>
    <row r="148" spans="1:6" x14ac:dyDescent="0.25">
      <c r="A148" s="32"/>
      <c r="B148" s="69"/>
      <c r="C148" s="69"/>
      <c r="D148" s="73"/>
      <c r="E148" s="73"/>
      <c r="F148" s="70"/>
    </row>
    <row r="149" spans="1:6" x14ac:dyDescent="0.25">
      <c r="B149" s="69"/>
      <c r="C149" s="69"/>
      <c r="D149" s="75"/>
      <c r="E149" s="75"/>
      <c r="F149" s="74"/>
    </row>
    <row r="150" spans="1:6" x14ac:dyDescent="0.25">
      <c r="B150" s="69"/>
      <c r="C150" s="69"/>
      <c r="D150" s="75"/>
      <c r="E150" s="75"/>
      <c r="F150" s="74"/>
    </row>
    <row r="151" spans="1:6" x14ac:dyDescent="0.25">
      <c r="A151" s="32"/>
      <c r="D151" s="76"/>
      <c r="E151" s="76"/>
      <c r="F151" s="66"/>
    </row>
    <row r="152" spans="1:6" x14ac:dyDescent="0.25">
      <c r="A152" s="32"/>
      <c r="D152" s="75"/>
      <c r="E152" s="75"/>
      <c r="F152" s="66"/>
    </row>
    <row r="153" spans="1:6" ht="13.8" thickBot="1" x14ac:dyDescent="0.3">
      <c r="A153" s="32"/>
      <c r="D153" s="77"/>
      <c r="E153" s="77"/>
      <c r="F153" s="66"/>
    </row>
    <row r="154" spans="1:6" ht="13.8" thickTop="1" x14ac:dyDescent="0.25"/>
    <row r="158" spans="1:6" x14ac:dyDescent="0.25">
      <c r="B158" s="69"/>
      <c r="C158" s="69"/>
      <c r="D158" s="69"/>
      <c r="E158" s="70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78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69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78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71"/>
      <c r="E171" s="71"/>
      <c r="F171" s="72"/>
    </row>
    <row r="172" spans="1:6" x14ac:dyDescent="0.25">
      <c r="A172" s="32"/>
      <c r="B172" s="69"/>
      <c r="C172" s="69"/>
      <c r="D172" s="69"/>
      <c r="E172" s="69"/>
      <c r="F172" s="70"/>
    </row>
    <row r="173" spans="1:6" x14ac:dyDescent="0.25">
      <c r="A173" s="32"/>
      <c r="B173" s="69"/>
      <c r="C173" s="69"/>
      <c r="D173" s="73"/>
      <c r="E173" s="73"/>
      <c r="F173" s="70"/>
    </row>
    <row r="174" spans="1:6" x14ac:dyDescent="0.25">
      <c r="B174" s="69"/>
      <c r="C174" s="69"/>
      <c r="D174" s="75"/>
      <c r="E174" s="75"/>
      <c r="F174" s="74"/>
    </row>
    <row r="175" spans="1:6" x14ac:dyDescent="0.25">
      <c r="B175" s="69"/>
      <c r="C175" s="69"/>
      <c r="D175" s="75"/>
      <c r="E175" s="75"/>
      <c r="F175" s="74"/>
    </row>
    <row r="176" spans="1:6" x14ac:dyDescent="0.25">
      <c r="A176" s="32"/>
      <c r="D176" s="76"/>
      <c r="E176" s="76"/>
      <c r="F176" s="66"/>
    </row>
    <row r="177" spans="1:6" x14ac:dyDescent="0.25">
      <c r="A177" s="32"/>
      <c r="D177" s="75"/>
      <c r="E177" s="75"/>
      <c r="F177" s="66"/>
    </row>
    <row r="178" spans="1:6" ht="13.8" thickBot="1" x14ac:dyDescent="0.3">
      <c r="A178" s="32"/>
      <c r="D178" s="77"/>
      <c r="E178" s="77"/>
      <c r="F178" s="66"/>
    </row>
    <row r="179" spans="1:6" ht="13.8" thickTop="1" x14ac:dyDescent="0.25"/>
    <row r="182" spans="1:6" x14ac:dyDescent="0.25">
      <c r="B182" s="69"/>
      <c r="C182" s="69"/>
      <c r="D182" s="69"/>
      <c r="E182" s="70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B185" s="79"/>
      <c r="C185" s="80"/>
      <c r="D185" s="80"/>
      <c r="E185" s="69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80"/>
      <c r="C189" s="80"/>
      <c r="D189" s="80"/>
      <c r="E189" s="69"/>
      <c r="F189" s="70"/>
    </row>
    <row r="190" spans="1:6" x14ac:dyDescent="0.25">
      <c r="A190" s="81"/>
      <c r="B190" s="82"/>
      <c r="C190" s="82"/>
      <c r="D190" s="82"/>
      <c r="E190" s="82"/>
      <c r="F190" s="70"/>
    </row>
    <row r="191" spans="1:6" x14ac:dyDescent="0.25">
      <c r="B191" s="80"/>
      <c r="C191" s="80"/>
      <c r="D191" s="80"/>
      <c r="E191" s="69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79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8"/>
      <c r="C195" s="69"/>
      <c r="D195" s="71"/>
      <c r="E195" s="71"/>
      <c r="F195" s="72"/>
    </row>
    <row r="196" spans="1:6" x14ac:dyDescent="0.25">
      <c r="A196" s="32"/>
      <c r="B196" s="69"/>
      <c r="C196" s="69"/>
      <c r="D196" s="69"/>
      <c r="E196" s="69"/>
      <c r="F196" s="70"/>
    </row>
    <row r="197" spans="1:6" x14ac:dyDescent="0.25">
      <c r="A197" s="32"/>
      <c r="B197" s="69"/>
      <c r="C197" s="69"/>
      <c r="D197" s="73"/>
      <c r="E197" s="73"/>
      <c r="F197" s="70"/>
    </row>
    <row r="198" spans="1:6" x14ac:dyDescent="0.25">
      <c r="B198" s="69"/>
      <c r="C198" s="69"/>
      <c r="D198" s="75"/>
      <c r="E198" s="75"/>
      <c r="F198" s="74"/>
    </row>
    <row r="199" spans="1:6" x14ac:dyDescent="0.25">
      <c r="B199" s="69"/>
      <c r="C199" s="69"/>
      <c r="D199" s="75"/>
      <c r="E199" s="75"/>
      <c r="F199" s="74"/>
    </row>
    <row r="200" spans="1:6" x14ac:dyDescent="0.25">
      <c r="A200" s="32"/>
      <c r="D200" s="76"/>
      <c r="E200" s="76"/>
      <c r="F200" s="66"/>
    </row>
    <row r="201" spans="1:6" x14ac:dyDescent="0.25">
      <c r="A201" s="32"/>
      <c r="D201" s="75"/>
      <c r="E201" s="75"/>
      <c r="F201" s="66"/>
    </row>
    <row r="202" spans="1:6" ht="13.8" thickBot="1" x14ac:dyDescent="0.3">
      <c r="A202" s="32"/>
      <c r="D202" s="83"/>
      <c r="E202" s="77"/>
      <c r="F202" s="66"/>
    </row>
    <row r="203" spans="1:6" ht="13.8" thickTop="1" x14ac:dyDescent="0.25"/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B211" s="79"/>
      <c r="C211" s="80"/>
      <c r="D211" s="80"/>
      <c r="E211" s="69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80"/>
      <c r="C215" s="80"/>
      <c r="D215" s="80"/>
      <c r="E215" s="69"/>
      <c r="F215" s="70"/>
    </row>
    <row r="216" spans="1:6" x14ac:dyDescent="0.25">
      <c r="A216" s="81"/>
      <c r="B216" s="82"/>
      <c r="C216" s="82"/>
      <c r="D216" s="82"/>
      <c r="E216" s="82"/>
      <c r="F216" s="70"/>
    </row>
    <row r="217" spans="1:6" x14ac:dyDescent="0.25">
      <c r="B217" s="80"/>
      <c r="C217" s="80"/>
      <c r="D217" s="80"/>
      <c r="E217" s="69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79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8"/>
      <c r="C221" s="69"/>
      <c r="D221" s="71"/>
      <c r="E221" s="71"/>
      <c r="F221" s="72"/>
    </row>
    <row r="222" spans="1:6" x14ac:dyDescent="0.25">
      <c r="A222" s="32"/>
      <c r="B222" s="69"/>
      <c r="C222" s="69"/>
      <c r="D222" s="69"/>
      <c r="E222" s="69"/>
      <c r="F222" s="70"/>
    </row>
    <row r="223" spans="1:6" x14ac:dyDescent="0.25">
      <c r="A223" s="32"/>
      <c r="B223" s="69"/>
      <c r="C223" s="69"/>
      <c r="D223" s="73"/>
      <c r="E223" s="73"/>
      <c r="F223" s="70"/>
    </row>
    <row r="224" spans="1:6" x14ac:dyDescent="0.25">
      <c r="B224" s="69"/>
      <c r="C224" s="69"/>
      <c r="D224" s="75"/>
      <c r="E224" s="75"/>
      <c r="F224" s="74"/>
    </row>
    <row r="225" spans="1:6" x14ac:dyDescent="0.25">
      <c r="B225" s="69"/>
      <c r="C225" s="69"/>
      <c r="D225" s="75"/>
      <c r="E225" s="75"/>
      <c r="F225" s="74"/>
    </row>
    <row r="226" spans="1:6" x14ac:dyDescent="0.25">
      <c r="A226" s="32"/>
      <c r="D226" s="76"/>
      <c r="E226" s="76"/>
      <c r="F226" s="66"/>
    </row>
    <row r="227" spans="1:6" x14ac:dyDescent="0.25">
      <c r="A227" s="32"/>
      <c r="D227" s="75"/>
      <c r="E227" s="75"/>
      <c r="F227" s="66"/>
    </row>
    <row r="228" spans="1:6" ht="13.8" thickBot="1" x14ac:dyDescent="0.3">
      <c r="A228" s="32"/>
      <c r="D228" s="83"/>
      <c r="E228" s="77"/>
      <c r="F228" s="66"/>
    </row>
    <row r="229" spans="1:6" ht="13.8" thickTop="1" x14ac:dyDescent="0.25"/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B235" s="79"/>
      <c r="C235" s="80"/>
      <c r="D235" s="80"/>
      <c r="E235" s="69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80"/>
      <c r="C239" s="80"/>
      <c r="D239" s="80"/>
      <c r="E239" s="69"/>
      <c r="F239" s="70"/>
    </row>
    <row r="240" spans="1:6" x14ac:dyDescent="0.25">
      <c r="A240" s="84"/>
      <c r="B240" s="85"/>
      <c r="C240" s="85"/>
      <c r="D240" s="85"/>
      <c r="E240" s="85"/>
      <c r="F240" s="70"/>
    </row>
    <row r="241" spans="1:6" x14ac:dyDescent="0.25">
      <c r="B241" s="80"/>
      <c r="C241" s="80"/>
      <c r="D241" s="80"/>
      <c r="E241" s="69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79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8"/>
      <c r="C245" s="69"/>
      <c r="D245" s="71"/>
      <c r="E245" s="71"/>
      <c r="F245" s="72"/>
    </row>
    <row r="246" spans="1:6" x14ac:dyDescent="0.25">
      <c r="A246" s="32"/>
      <c r="B246" s="69"/>
      <c r="C246" s="69"/>
      <c r="D246" s="69"/>
      <c r="E246" s="69"/>
      <c r="F246" s="70"/>
    </row>
    <row r="247" spans="1:6" x14ac:dyDescent="0.25">
      <c r="A247" s="32"/>
      <c r="B247" s="69"/>
      <c r="C247" s="69"/>
      <c r="D247" s="73"/>
      <c r="E247" s="73"/>
      <c r="F247" s="70"/>
    </row>
    <row r="248" spans="1:6" x14ac:dyDescent="0.25">
      <c r="B248" s="69"/>
      <c r="C248" s="69"/>
      <c r="D248" s="75"/>
      <c r="E248" s="75"/>
      <c r="F248" s="74"/>
    </row>
    <row r="249" spans="1:6" x14ac:dyDescent="0.25">
      <c r="B249" s="69"/>
      <c r="C249" s="69"/>
      <c r="D249" s="75"/>
      <c r="E249" s="75"/>
      <c r="F249" s="74"/>
    </row>
    <row r="250" spans="1:6" x14ac:dyDescent="0.25">
      <c r="A250" s="32"/>
      <c r="D250" s="76"/>
      <c r="E250" s="76"/>
      <c r="F250" s="66"/>
    </row>
    <row r="251" spans="1:6" x14ac:dyDescent="0.25">
      <c r="A251" s="32"/>
      <c r="D251" s="75"/>
      <c r="E251" s="75"/>
      <c r="F251" s="66"/>
    </row>
    <row r="252" spans="1:6" ht="13.8" thickBot="1" x14ac:dyDescent="0.3">
      <c r="A252" s="32"/>
      <c r="D252" s="86"/>
      <c r="E252" s="77"/>
      <c r="F252" s="66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87"/>
      <c r="B259" s="89"/>
      <c r="C259" s="90"/>
      <c r="D259" s="90"/>
      <c r="E259" s="69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90"/>
      <c r="C263" s="90"/>
      <c r="D263" s="90"/>
      <c r="E263" s="69"/>
      <c r="F263" s="70"/>
    </row>
    <row r="264" spans="1:6" x14ac:dyDescent="0.25">
      <c r="A264" s="91"/>
      <c r="B264" s="92"/>
      <c r="C264" s="92"/>
      <c r="D264" s="92"/>
      <c r="E264" s="85"/>
      <c r="F264" s="70"/>
    </row>
    <row r="265" spans="1:6" x14ac:dyDescent="0.25">
      <c r="A265" s="87"/>
      <c r="B265" s="90"/>
      <c r="C265" s="90"/>
      <c r="D265" s="90"/>
      <c r="E265" s="69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89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93"/>
      <c r="C269" s="88"/>
      <c r="D269" s="94"/>
      <c r="E269" s="71"/>
      <c r="F269" s="72"/>
    </row>
    <row r="270" spans="1:6" x14ac:dyDescent="0.25">
      <c r="A270" s="87"/>
      <c r="B270" s="88"/>
      <c r="C270" s="88"/>
      <c r="D270" s="88"/>
      <c r="E270" s="69"/>
      <c r="F270" s="70"/>
    </row>
    <row r="271" spans="1:6" x14ac:dyDescent="0.25">
      <c r="A271" s="87"/>
      <c r="B271" s="88"/>
      <c r="C271" s="88"/>
      <c r="D271" s="95"/>
      <c r="E271" s="73"/>
      <c r="F271" s="70"/>
    </row>
    <row r="272" spans="1:6" x14ac:dyDescent="0.25">
      <c r="A272" s="87"/>
      <c r="B272" s="88"/>
      <c r="C272" s="88"/>
      <c r="D272" s="96"/>
      <c r="E272" s="75"/>
      <c r="F272" s="74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7"/>
      <c r="E274" s="76"/>
      <c r="F274" s="66"/>
    </row>
    <row r="275" spans="1:6" x14ac:dyDescent="0.25">
      <c r="A275" s="87"/>
      <c r="B275" s="88"/>
      <c r="C275" s="88"/>
      <c r="D275" s="96"/>
      <c r="E275" s="75"/>
      <c r="F275" s="66"/>
    </row>
    <row r="276" spans="1:6" ht="13.8" thickBot="1" x14ac:dyDescent="0.3">
      <c r="A276" s="87"/>
      <c r="B276" s="88"/>
      <c r="C276" s="88"/>
      <c r="D276" s="98"/>
      <c r="E276" s="77"/>
      <c r="F276" s="66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87"/>
      <c r="B284" s="89"/>
      <c r="C284" s="90"/>
      <c r="D284" s="90"/>
      <c r="E284" s="69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90"/>
      <c r="C288" s="90"/>
      <c r="D288" s="90"/>
      <c r="E288" s="69"/>
      <c r="F288" s="70"/>
    </row>
    <row r="289" spans="1:6" x14ac:dyDescent="0.25">
      <c r="A289" s="91"/>
      <c r="B289" s="92"/>
      <c r="C289" s="92"/>
      <c r="D289" s="92"/>
      <c r="E289" s="85"/>
      <c r="F289" s="70"/>
    </row>
    <row r="290" spans="1:6" x14ac:dyDescent="0.25">
      <c r="A290" s="87"/>
      <c r="B290" s="90"/>
      <c r="C290" s="90"/>
      <c r="D290" s="90"/>
      <c r="E290" s="69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89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93"/>
      <c r="C294" s="88"/>
      <c r="D294" s="94"/>
      <c r="E294" s="71"/>
      <c r="F294" s="72"/>
    </row>
    <row r="295" spans="1:6" x14ac:dyDescent="0.25">
      <c r="A295" s="87"/>
      <c r="B295" s="88"/>
      <c r="C295" s="88"/>
      <c r="D295" s="88"/>
      <c r="E295" s="69"/>
      <c r="F295" s="70"/>
    </row>
    <row r="296" spans="1:6" x14ac:dyDescent="0.25">
      <c r="A296" s="87"/>
      <c r="B296" s="88"/>
      <c r="C296" s="88"/>
      <c r="D296" s="95"/>
      <c r="E296" s="73"/>
      <c r="F296" s="70"/>
    </row>
    <row r="297" spans="1:6" x14ac:dyDescent="0.25">
      <c r="A297" s="87"/>
      <c r="B297" s="88"/>
      <c r="C297" s="88"/>
      <c r="D297" s="96"/>
      <c r="E297" s="75"/>
      <c r="F297" s="74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99"/>
      <c r="B299" s="88"/>
      <c r="C299" s="88"/>
      <c r="D299" s="97"/>
      <c r="E299" s="76"/>
      <c r="F299" s="66"/>
    </row>
    <row r="300" spans="1:6" x14ac:dyDescent="0.25">
      <c r="A300" s="87"/>
      <c r="B300" s="88"/>
      <c r="C300" s="88"/>
      <c r="D300" s="96"/>
      <c r="E300" s="75"/>
      <c r="F300" s="66"/>
    </row>
    <row r="301" spans="1:6" ht="13.8" thickBot="1" x14ac:dyDescent="0.3">
      <c r="A301" s="87"/>
      <c r="B301" s="88"/>
      <c r="C301" s="88"/>
      <c r="D301" s="98"/>
      <c r="E301" s="77"/>
      <c r="F301" s="66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87"/>
      <c r="B311" s="89"/>
      <c r="C311" s="90"/>
      <c r="D311" s="90"/>
      <c r="E311" s="69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90"/>
      <c r="C315" s="90"/>
      <c r="D315" s="90"/>
      <c r="E315" s="69"/>
      <c r="F315" s="70"/>
    </row>
    <row r="316" spans="1:6" x14ac:dyDescent="0.25">
      <c r="A316" s="91"/>
      <c r="B316" s="92"/>
      <c r="C316" s="92"/>
      <c r="D316" s="92"/>
      <c r="E316" s="85"/>
      <c r="F316" s="70"/>
    </row>
    <row r="317" spans="1:6" x14ac:dyDescent="0.25">
      <c r="A317" s="87"/>
      <c r="B317" s="90"/>
      <c r="C317" s="90"/>
      <c r="D317" s="90"/>
      <c r="E317" s="69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89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93"/>
      <c r="C321" s="88"/>
      <c r="D321" s="94"/>
      <c r="E321" s="71"/>
      <c r="F321" s="72"/>
    </row>
    <row r="322" spans="1:6" x14ac:dyDescent="0.25">
      <c r="A322" s="87"/>
      <c r="B322" s="88"/>
      <c r="C322" s="88"/>
      <c r="D322" s="88"/>
      <c r="E322" s="69"/>
      <c r="F322" s="70"/>
    </row>
    <row r="323" spans="1:6" x14ac:dyDescent="0.25">
      <c r="A323" s="87"/>
      <c r="B323" s="88"/>
      <c r="C323" s="88"/>
      <c r="D323" s="95"/>
      <c r="E323" s="73"/>
      <c r="F323" s="70"/>
    </row>
    <row r="324" spans="1:6" x14ac:dyDescent="0.25">
      <c r="A324" s="87"/>
      <c r="B324" s="88"/>
      <c r="C324" s="88"/>
      <c r="D324" s="96"/>
      <c r="E324" s="75"/>
      <c r="F324" s="74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99"/>
      <c r="B326" s="88"/>
      <c r="C326" s="88"/>
      <c r="D326" s="97"/>
      <c r="E326" s="76"/>
      <c r="F326" s="66"/>
    </row>
    <row r="327" spans="1:6" x14ac:dyDescent="0.25">
      <c r="A327" s="87"/>
      <c r="B327" s="88"/>
      <c r="C327" s="88"/>
      <c r="D327" s="96"/>
      <c r="E327" s="75"/>
      <c r="F327" s="66"/>
    </row>
    <row r="328" spans="1:6" ht="13.8" thickBot="1" x14ac:dyDescent="0.3">
      <c r="A328" s="87"/>
      <c r="B328" s="88"/>
      <c r="C328" s="88"/>
      <c r="D328" s="98"/>
      <c r="E328" s="77"/>
      <c r="F328" s="66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workbookViewId="3">
      <selection activeCell="C15" sqref="C15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</cols>
  <sheetData>
    <row r="1" spans="1:6" x14ac:dyDescent="0.25">
      <c r="B1">
        <v>52862</v>
      </c>
      <c r="D1">
        <v>6828</v>
      </c>
    </row>
    <row r="2" spans="1:6" x14ac:dyDescent="0.25">
      <c r="B2" s="261" t="s">
        <v>20</v>
      </c>
      <c r="C2" s="261" t="s">
        <v>21</v>
      </c>
      <c r="D2" s="261" t="s">
        <v>20</v>
      </c>
      <c r="E2" s="261" t="s">
        <v>21</v>
      </c>
      <c r="F2" s="262" t="s">
        <v>51</v>
      </c>
    </row>
    <row r="3" spans="1:6" x14ac:dyDescent="0.25">
      <c r="A3">
        <v>1</v>
      </c>
      <c r="B3" s="90">
        <v>54408</v>
      </c>
      <c r="C3" s="90">
        <v>54435</v>
      </c>
      <c r="D3" s="90">
        <v>-44839</v>
      </c>
      <c r="E3" s="90">
        <v>-19695</v>
      </c>
      <c r="F3" s="90">
        <f>+E3-D3+C3-B3</f>
        <v>25171</v>
      </c>
    </row>
    <row r="4" spans="1:6" x14ac:dyDescent="0.25">
      <c r="A4">
        <v>2</v>
      </c>
      <c r="B4" s="90">
        <v>54768</v>
      </c>
      <c r="C4" s="90">
        <v>54751</v>
      </c>
      <c r="D4" s="90">
        <v>-48946</v>
      </c>
      <c r="E4" s="90">
        <v>-19695</v>
      </c>
      <c r="F4" s="90">
        <f>+E4-D4+C4-B4</f>
        <v>29234</v>
      </c>
    </row>
    <row r="5" spans="1:6" x14ac:dyDescent="0.25">
      <c r="A5">
        <v>3</v>
      </c>
      <c r="B5" s="90">
        <v>52724</v>
      </c>
      <c r="C5" s="90">
        <v>52734</v>
      </c>
      <c r="D5" s="90">
        <v>-7981</v>
      </c>
      <c r="E5" s="90">
        <v>-19695</v>
      </c>
      <c r="F5" s="90">
        <f>+E5-D5+C5-B5</f>
        <v>-11704</v>
      </c>
    </row>
    <row r="6" spans="1:6" x14ac:dyDescent="0.25">
      <c r="A6">
        <v>4</v>
      </c>
      <c r="B6" s="90">
        <v>53199</v>
      </c>
      <c r="C6" s="90">
        <v>54711</v>
      </c>
      <c r="D6" s="90">
        <v>-10156</v>
      </c>
      <c r="E6" s="90">
        <v>-19695</v>
      </c>
      <c r="F6" s="90">
        <f t="shared" ref="F6:F33" si="0">+E6-D6+C6-B6</f>
        <v>-8027</v>
      </c>
    </row>
    <row r="7" spans="1:6" x14ac:dyDescent="0.25">
      <c r="A7">
        <v>5</v>
      </c>
      <c r="B7" s="90">
        <v>49733</v>
      </c>
      <c r="C7" s="90">
        <v>49711</v>
      </c>
      <c r="D7" s="90">
        <v>-22954</v>
      </c>
      <c r="E7" s="90">
        <v>-30290</v>
      </c>
      <c r="F7" s="90">
        <f t="shared" si="0"/>
        <v>-7358</v>
      </c>
    </row>
    <row r="8" spans="1:6" x14ac:dyDescent="0.25">
      <c r="A8">
        <v>6</v>
      </c>
      <c r="B8" s="90">
        <v>47560</v>
      </c>
      <c r="C8" s="90">
        <v>47583</v>
      </c>
      <c r="D8" s="90">
        <v>-55424</v>
      </c>
      <c r="E8" s="90">
        <v>-63907</v>
      </c>
      <c r="F8" s="90">
        <f t="shared" si="0"/>
        <v>-8460</v>
      </c>
    </row>
    <row r="9" spans="1:6" x14ac:dyDescent="0.25">
      <c r="A9">
        <v>7</v>
      </c>
      <c r="B9" s="90">
        <v>39727</v>
      </c>
      <c r="C9" s="90">
        <v>39751</v>
      </c>
      <c r="D9" s="90">
        <v>-14089</v>
      </c>
      <c r="E9" s="90">
        <v>-22398</v>
      </c>
      <c r="F9" s="90">
        <f t="shared" si="0"/>
        <v>-8285</v>
      </c>
    </row>
    <row r="10" spans="1:6" x14ac:dyDescent="0.25">
      <c r="A10">
        <v>8</v>
      </c>
      <c r="B10" s="90">
        <v>39566</v>
      </c>
      <c r="C10" s="90">
        <v>39634</v>
      </c>
      <c r="D10" s="90">
        <v>-51249</v>
      </c>
      <c r="E10" s="90">
        <v>-49937</v>
      </c>
      <c r="F10" s="90">
        <f t="shared" si="0"/>
        <v>1380</v>
      </c>
    </row>
    <row r="11" spans="1:6" x14ac:dyDescent="0.25">
      <c r="A11">
        <v>9</v>
      </c>
      <c r="B11" s="90">
        <v>39696</v>
      </c>
      <c r="C11" s="90">
        <v>39751</v>
      </c>
      <c r="D11" s="90">
        <v>-51249</v>
      </c>
      <c r="E11" s="90">
        <v>-49937</v>
      </c>
      <c r="F11" s="90">
        <f t="shared" si="0"/>
        <v>1367</v>
      </c>
    </row>
    <row r="12" spans="1:6" x14ac:dyDescent="0.25">
      <c r="A12">
        <v>10</v>
      </c>
      <c r="B12" s="90">
        <v>39685</v>
      </c>
      <c r="C12" s="90">
        <v>39751</v>
      </c>
      <c r="D12" s="90">
        <v>-52771</v>
      </c>
      <c r="E12" s="90">
        <v>-49937</v>
      </c>
      <c r="F12" s="90">
        <f t="shared" si="0"/>
        <v>2900</v>
      </c>
    </row>
    <row r="13" spans="1:6" x14ac:dyDescent="0.25">
      <c r="A13">
        <v>11</v>
      </c>
      <c r="B13" s="90">
        <v>39693</v>
      </c>
      <c r="C13" s="90">
        <v>39751</v>
      </c>
      <c r="D13" s="90">
        <v>-51660</v>
      </c>
      <c r="E13" s="90">
        <v>-54790</v>
      </c>
      <c r="F13" s="90">
        <f t="shared" si="0"/>
        <v>-3072</v>
      </c>
    </row>
    <row r="14" spans="1:6" x14ac:dyDescent="0.25">
      <c r="A14">
        <v>12</v>
      </c>
      <c r="B14" s="88">
        <v>39687</v>
      </c>
      <c r="C14" s="90">
        <v>39751</v>
      </c>
      <c r="D14" s="88">
        <v>-66887</v>
      </c>
      <c r="E14" s="88">
        <v>-65762</v>
      </c>
      <c r="F14" s="90">
        <f t="shared" si="0"/>
        <v>1189</v>
      </c>
    </row>
    <row r="15" spans="1:6" x14ac:dyDescent="0.25">
      <c r="A15">
        <v>13</v>
      </c>
      <c r="B15" s="88"/>
      <c r="C15" s="88"/>
      <c r="D15" s="88"/>
      <c r="E15" s="88"/>
      <c r="F15" s="90">
        <f t="shared" si="0"/>
        <v>0</v>
      </c>
    </row>
    <row r="16" spans="1:6" x14ac:dyDescent="0.25">
      <c r="A16">
        <v>14</v>
      </c>
      <c r="B16" s="88"/>
      <c r="C16" s="88"/>
      <c r="D16" s="88"/>
      <c r="E16" s="88"/>
      <c r="F16" s="90">
        <f t="shared" si="0"/>
        <v>0</v>
      </c>
    </row>
    <row r="17" spans="1:6" x14ac:dyDescent="0.25">
      <c r="A17">
        <v>15</v>
      </c>
      <c r="B17" s="88"/>
      <c r="C17" s="88"/>
      <c r="D17" s="14"/>
      <c r="E17" s="14"/>
      <c r="F17" s="90">
        <f t="shared" si="0"/>
        <v>0</v>
      </c>
    </row>
    <row r="18" spans="1:6" x14ac:dyDescent="0.25">
      <c r="A18">
        <v>16</v>
      </c>
      <c r="B18" s="88"/>
      <c r="C18" s="88"/>
      <c r="D18" s="14"/>
      <c r="E18" s="14"/>
      <c r="F18" s="90">
        <f t="shared" si="0"/>
        <v>0</v>
      </c>
    </row>
    <row r="19" spans="1:6" x14ac:dyDescent="0.25">
      <c r="A19">
        <v>17</v>
      </c>
      <c r="B19" s="88"/>
      <c r="C19" s="88"/>
      <c r="D19" s="14"/>
      <c r="E19" s="14"/>
      <c r="F19" s="90">
        <f t="shared" si="0"/>
        <v>0</v>
      </c>
    </row>
    <row r="20" spans="1:6" x14ac:dyDescent="0.25">
      <c r="A20">
        <v>18</v>
      </c>
      <c r="B20" s="346"/>
      <c r="C20" s="346"/>
      <c r="D20" s="14"/>
      <c r="E20" s="14"/>
      <c r="F20" s="90">
        <f t="shared" si="0"/>
        <v>0</v>
      </c>
    </row>
    <row r="21" spans="1:6" x14ac:dyDescent="0.25">
      <c r="A21">
        <v>19</v>
      </c>
      <c r="B21" s="346"/>
      <c r="C21" s="346"/>
      <c r="D21" s="14"/>
      <c r="E21" s="14"/>
      <c r="F21" s="90">
        <f t="shared" si="0"/>
        <v>0</v>
      </c>
    </row>
    <row r="22" spans="1:6" x14ac:dyDescent="0.25">
      <c r="A22">
        <v>20</v>
      </c>
      <c r="B22" s="346"/>
      <c r="C22" s="346"/>
      <c r="D22" s="14"/>
      <c r="E22" s="14"/>
      <c r="F22" s="90">
        <f t="shared" si="0"/>
        <v>0</v>
      </c>
    </row>
    <row r="23" spans="1:6" x14ac:dyDescent="0.25">
      <c r="A23">
        <v>21</v>
      </c>
      <c r="B23" s="346"/>
      <c r="C23" s="346"/>
      <c r="D23" s="14"/>
      <c r="E23" s="14"/>
      <c r="F23" s="90">
        <f t="shared" si="0"/>
        <v>0</v>
      </c>
    </row>
    <row r="24" spans="1:6" x14ac:dyDescent="0.25">
      <c r="A24">
        <v>22</v>
      </c>
      <c r="B24" s="346"/>
      <c r="C24" s="346"/>
      <c r="D24" s="14"/>
      <c r="E24" s="14"/>
      <c r="F24" s="90">
        <f t="shared" si="0"/>
        <v>0</v>
      </c>
    </row>
    <row r="25" spans="1:6" x14ac:dyDescent="0.25">
      <c r="A25">
        <v>23</v>
      </c>
      <c r="B25" s="346"/>
      <c r="C25" s="346"/>
      <c r="D25" s="14"/>
      <c r="E25" s="14"/>
      <c r="F25" s="90">
        <f t="shared" si="0"/>
        <v>0</v>
      </c>
    </row>
    <row r="26" spans="1:6" x14ac:dyDescent="0.25">
      <c r="A26">
        <v>24</v>
      </c>
      <c r="B26" s="346"/>
      <c r="C26" s="346"/>
      <c r="D26" s="14"/>
      <c r="E26" s="14"/>
      <c r="F26" s="90">
        <f t="shared" si="0"/>
        <v>0</v>
      </c>
    </row>
    <row r="27" spans="1:6" x14ac:dyDescent="0.25">
      <c r="A27">
        <v>25</v>
      </c>
      <c r="B27" s="346"/>
      <c r="C27" s="346"/>
      <c r="D27" s="14"/>
      <c r="E27" s="14"/>
      <c r="F27" s="90">
        <f t="shared" si="0"/>
        <v>0</v>
      </c>
    </row>
    <row r="28" spans="1:6" x14ac:dyDescent="0.25">
      <c r="A28">
        <v>26</v>
      </c>
      <c r="B28" s="346"/>
      <c r="C28" s="346"/>
      <c r="D28" s="14"/>
      <c r="E28" s="14"/>
      <c r="F28" s="90">
        <f t="shared" si="0"/>
        <v>0</v>
      </c>
    </row>
    <row r="29" spans="1:6" x14ac:dyDescent="0.25">
      <c r="A29">
        <v>27</v>
      </c>
      <c r="B29" s="346"/>
      <c r="C29" s="346"/>
      <c r="D29" s="14"/>
      <c r="E29" s="14"/>
      <c r="F29" s="90">
        <f t="shared" si="0"/>
        <v>0</v>
      </c>
    </row>
    <row r="30" spans="1:6" x14ac:dyDescent="0.25">
      <c r="A30">
        <v>28</v>
      </c>
      <c r="B30" s="466"/>
      <c r="C30" s="346"/>
      <c r="D30" s="14"/>
      <c r="E30" s="14"/>
      <c r="F30" s="90">
        <f t="shared" si="0"/>
        <v>0</v>
      </c>
    </row>
    <row r="31" spans="1:6" x14ac:dyDescent="0.25">
      <c r="A31">
        <v>29</v>
      </c>
      <c r="B31" s="346"/>
      <c r="C31" s="346"/>
      <c r="D31" s="14"/>
      <c r="E31" s="14"/>
      <c r="F31" s="90">
        <f t="shared" si="0"/>
        <v>0</v>
      </c>
    </row>
    <row r="32" spans="1:6" x14ac:dyDescent="0.25">
      <c r="A32">
        <v>30</v>
      </c>
      <c r="B32" s="346"/>
      <c r="C32" s="346"/>
      <c r="D32" s="14"/>
      <c r="E32" s="14"/>
      <c r="F32" s="90">
        <f t="shared" si="0"/>
        <v>0</v>
      </c>
    </row>
    <row r="33" spans="1:6" x14ac:dyDescent="0.25">
      <c r="A33">
        <v>31</v>
      </c>
      <c r="B33" s="346"/>
      <c r="C33" s="346"/>
      <c r="D33" s="14"/>
      <c r="E33" s="14"/>
      <c r="F33" s="90">
        <f t="shared" si="0"/>
        <v>0</v>
      </c>
    </row>
    <row r="34" spans="1:6" x14ac:dyDescent="0.25">
      <c r="B34" s="297">
        <f>SUM(B3:B33)</f>
        <v>550446</v>
      </c>
      <c r="C34" s="297">
        <f>SUM(C3:C33)</f>
        <v>552314</v>
      </c>
      <c r="D34" s="14">
        <f>SUM(D3:D33)</f>
        <v>-478205</v>
      </c>
      <c r="E34" s="14">
        <f>SUM(E3:E33)</f>
        <v>-465738</v>
      </c>
      <c r="F34" s="14">
        <f>SUM(F3:F33)</f>
        <v>14335</v>
      </c>
    </row>
    <row r="35" spans="1:6" x14ac:dyDescent="0.25">
      <c r="D35" s="14"/>
      <c r="E35" s="14"/>
      <c r="F35" s="14"/>
    </row>
    <row r="36" spans="1:6" x14ac:dyDescent="0.25">
      <c r="F36" s="350"/>
    </row>
    <row r="37" spans="1:6" x14ac:dyDescent="0.25">
      <c r="A37" s="263">
        <v>37134</v>
      </c>
      <c r="B37" s="14"/>
      <c r="C37" s="14"/>
      <c r="D37" s="14"/>
      <c r="E37" s="14"/>
      <c r="F37" s="474">
        <f>12393+127284</f>
        <v>139677</v>
      </c>
    </row>
    <row r="38" spans="1:6" x14ac:dyDescent="0.25">
      <c r="A38" s="263">
        <v>37146</v>
      </c>
      <c r="B38" s="14"/>
      <c r="C38" s="14"/>
      <c r="D38" s="14"/>
      <c r="E38" s="14"/>
      <c r="F38" s="150">
        <f>+F37+F34</f>
        <v>154012</v>
      </c>
    </row>
    <row r="39" spans="1:6" x14ac:dyDescent="0.25">
      <c r="F39" s="304"/>
    </row>
    <row r="40" spans="1:6" x14ac:dyDescent="0.25">
      <c r="F40" s="304"/>
    </row>
    <row r="41" spans="1:6" x14ac:dyDescent="0.25">
      <c r="F41" s="304"/>
    </row>
    <row r="42" spans="1:6" x14ac:dyDescent="0.25">
      <c r="A42" s="32" t="s">
        <v>158</v>
      </c>
      <c r="B42" s="32"/>
      <c r="C42" s="32"/>
      <c r="D42" s="47"/>
      <c r="F42" s="304"/>
    </row>
    <row r="43" spans="1:6" x14ac:dyDescent="0.25">
      <c r="A43" s="49">
        <f>+A37</f>
        <v>37134</v>
      </c>
      <c r="B43" s="32"/>
      <c r="C43" s="32"/>
      <c r="D43" s="475">
        <f>151845.69+204392.22</f>
        <v>356237.91000000003</v>
      </c>
      <c r="F43" s="304"/>
    </row>
    <row r="44" spans="1:6" x14ac:dyDescent="0.25">
      <c r="A44" s="49">
        <f>+A38</f>
        <v>37146</v>
      </c>
      <c r="B44" s="32"/>
      <c r="C44" s="32"/>
      <c r="D44" s="406">
        <f>+F34*'by type_area'!J4</f>
        <v>29100.049999999996</v>
      </c>
      <c r="F44" s="304"/>
    </row>
    <row r="45" spans="1:6" x14ac:dyDescent="0.25">
      <c r="A45" s="32"/>
      <c r="B45" s="32"/>
      <c r="C45" s="32"/>
      <c r="D45" s="202">
        <f>+D44+D43</f>
        <v>385337.96</v>
      </c>
      <c r="F45" s="304"/>
    </row>
    <row r="46" spans="1:6" x14ac:dyDescent="0.25">
      <c r="F46" s="304"/>
    </row>
    <row r="47" spans="1:6" x14ac:dyDescent="0.25">
      <c r="F47" s="304"/>
    </row>
    <row r="48" spans="1:6" x14ac:dyDescent="0.25">
      <c r="F48" s="3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6" workbookViewId="3">
      <selection activeCell="A41" sqref="A41"/>
    </sheetView>
  </sheetViews>
  <sheetFormatPr defaultRowHeight="13.2" x14ac:dyDescent="0.25"/>
  <cols>
    <col min="2" max="2" width="9.33203125" bestFit="1" customWidth="1"/>
    <col min="3" max="3" width="9.554687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11</v>
      </c>
      <c r="B3" s="6" t="s">
        <v>20</v>
      </c>
      <c r="C3" s="6" t="s">
        <v>21</v>
      </c>
    </row>
    <row r="4" spans="1:4" x14ac:dyDescent="0.25">
      <c r="A4" s="10">
        <v>1</v>
      </c>
      <c r="B4" s="11">
        <v>-13851</v>
      </c>
      <c r="C4" s="11">
        <v>-21407</v>
      </c>
      <c r="D4" s="25">
        <f>+C4-B4</f>
        <v>-7556</v>
      </c>
    </row>
    <row r="5" spans="1:4" x14ac:dyDescent="0.25">
      <c r="A5" s="10">
        <v>2</v>
      </c>
      <c r="B5" s="11">
        <v>-20005</v>
      </c>
      <c r="C5" s="11">
        <v>-20000</v>
      </c>
      <c r="D5" s="25">
        <f t="shared" ref="D5:D34" si="0">+C5-B5</f>
        <v>5</v>
      </c>
    </row>
    <row r="6" spans="1:4" x14ac:dyDescent="0.25">
      <c r="A6" s="10">
        <v>3</v>
      </c>
      <c r="B6" s="11">
        <v>-20159</v>
      </c>
      <c r="C6" s="11">
        <v>-20000</v>
      </c>
      <c r="D6" s="25">
        <f t="shared" si="0"/>
        <v>159</v>
      </c>
    </row>
    <row r="7" spans="1:4" x14ac:dyDescent="0.25">
      <c r="A7" s="10">
        <v>4</v>
      </c>
      <c r="B7" s="11">
        <v>-20797</v>
      </c>
      <c r="C7" s="11">
        <v>-20000</v>
      </c>
      <c r="D7" s="25">
        <f t="shared" si="0"/>
        <v>797</v>
      </c>
    </row>
    <row r="8" spans="1:4" x14ac:dyDescent="0.25">
      <c r="A8" s="10">
        <v>5</v>
      </c>
      <c r="B8" s="11">
        <v>-20340</v>
      </c>
      <c r="C8" s="11">
        <v>-20000</v>
      </c>
      <c r="D8" s="25">
        <f t="shared" si="0"/>
        <v>340</v>
      </c>
    </row>
    <row r="9" spans="1:4" x14ac:dyDescent="0.25">
      <c r="A9" s="10">
        <v>6</v>
      </c>
      <c r="B9" s="11">
        <v>-20004</v>
      </c>
      <c r="C9" s="11">
        <v>-20000</v>
      </c>
      <c r="D9" s="25">
        <f t="shared" si="0"/>
        <v>4</v>
      </c>
    </row>
    <row r="10" spans="1:4" x14ac:dyDescent="0.25">
      <c r="A10" s="10">
        <v>7</v>
      </c>
      <c r="B10" s="129">
        <v>-20329</v>
      </c>
      <c r="C10" s="11">
        <v>-20000</v>
      </c>
      <c r="D10" s="25">
        <f t="shared" si="0"/>
        <v>329</v>
      </c>
    </row>
    <row r="11" spans="1:4" x14ac:dyDescent="0.25">
      <c r="A11" s="10">
        <v>8</v>
      </c>
      <c r="B11" s="11">
        <v>-20015</v>
      </c>
      <c r="C11" s="11">
        <v>-20000</v>
      </c>
      <c r="D11" s="25">
        <f t="shared" si="0"/>
        <v>15</v>
      </c>
    </row>
    <row r="12" spans="1:4" x14ac:dyDescent="0.25">
      <c r="A12" s="10">
        <v>9</v>
      </c>
      <c r="B12" s="11">
        <v>-20003</v>
      </c>
      <c r="C12" s="11">
        <v>-20000</v>
      </c>
      <c r="D12" s="25">
        <f t="shared" si="0"/>
        <v>3</v>
      </c>
    </row>
    <row r="13" spans="1:4" x14ac:dyDescent="0.25">
      <c r="A13" s="10">
        <v>10</v>
      </c>
      <c r="B13" s="11">
        <v>-26813</v>
      </c>
      <c r="C13" s="11">
        <v>-25815</v>
      </c>
      <c r="D13" s="25">
        <f t="shared" si="0"/>
        <v>998</v>
      </c>
    </row>
    <row r="14" spans="1:4" x14ac:dyDescent="0.25">
      <c r="A14" s="10">
        <v>11</v>
      </c>
      <c r="B14" s="11">
        <v>-19899</v>
      </c>
      <c r="C14" s="11">
        <v>-20000</v>
      </c>
      <c r="D14" s="25">
        <f t="shared" si="0"/>
        <v>-101</v>
      </c>
    </row>
    <row r="15" spans="1:4" x14ac:dyDescent="0.25">
      <c r="A15" s="10">
        <v>12</v>
      </c>
      <c r="B15" s="11">
        <v>-23341</v>
      </c>
      <c r="C15" s="11">
        <v>-23611</v>
      </c>
      <c r="D15" s="25">
        <f t="shared" si="0"/>
        <v>-270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1"/>
      <c r="C21" s="11"/>
      <c r="D21" s="25">
        <f t="shared" si="0"/>
        <v>0</v>
      </c>
    </row>
    <row r="22" spans="1:4" x14ac:dyDescent="0.25">
      <c r="A22" s="10">
        <v>19</v>
      </c>
      <c r="B22" s="11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-245556</v>
      </c>
      <c r="C35" s="11">
        <f>SUM(C4:C34)</f>
        <v>-250833</v>
      </c>
      <c r="D35" s="11">
        <f>SUM(D4:D34)</f>
        <v>-5277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37134</v>
      </c>
      <c r="D38" s="479">
        <v>151464</v>
      </c>
    </row>
    <row r="39" spans="1:4" x14ac:dyDescent="0.25">
      <c r="A39" s="2"/>
      <c r="D39" s="24"/>
    </row>
    <row r="40" spans="1:4" x14ac:dyDescent="0.25">
      <c r="A40" s="57">
        <v>37146</v>
      </c>
      <c r="D40" s="51">
        <f>+D38+D35</f>
        <v>146187</v>
      </c>
    </row>
    <row r="44" spans="1:4" x14ac:dyDescent="0.25">
      <c r="A44" s="32" t="s">
        <v>158</v>
      </c>
      <c r="B44" s="32"/>
      <c r="C44" s="32"/>
      <c r="D44" s="47"/>
    </row>
    <row r="45" spans="1:4" x14ac:dyDescent="0.25">
      <c r="A45" s="49">
        <f>+A38</f>
        <v>37134</v>
      </c>
      <c r="B45" s="32"/>
      <c r="C45" s="32"/>
      <c r="D45" s="202">
        <v>125521</v>
      </c>
    </row>
    <row r="46" spans="1:4" x14ac:dyDescent="0.25">
      <c r="A46" s="49">
        <f>+A40</f>
        <v>37146</v>
      </c>
      <c r="B46" s="32"/>
      <c r="C46" s="32"/>
      <c r="D46" s="406">
        <f>+D35*'by type_area'!J4</f>
        <v>-10712.31</v>
      </c>
    </row>
    <row r="47" spans="1:4" x14ac:dyDescent="0.25">
      <c r="A47" s="32"/>
      <c r="B47" s="32"/>
      <c r="C47" s="32"/>
      <c r="D47" s="202">
        <f>+D46+D45</f>
        <v>114808.69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4" workbookViewId="3">
      <selection activeCell="E15" sqref="E15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107</v>
      </c>
      <c r="C2" s="4"/>
      <c r="D2" s="38" t="s">
        <v>108</v>
      </c>
      <c r="E2" s="4"/>
      <c r="F2" s="38" t="s">
        <v>109</v>
      </c>
      <c r="G2" s="4"/>
      <c r="H2" s="4"/>
      <c r="I2" s="4"/>
      <c r="J2" s="4"/>
    </row>
    <row r="3" spans="1:35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29">
        <v>20477</v>
      </c>
      <c r="C4" s="11">
        <v>19264</v>
      </c>
      <c r="D4" s="11">
        <v>8730</v>
      </c>
      <c r="E4" s="11">
        <v>9000</v>
      </c>
      <c r="F4" s="11"/>
      <c r="G4" s="11"/>
      <c r="H4" s="11"/>
      <c r="I4" s="11"/>
      <c r="J4" s="11">
        <f t="shared" ref="J4:J34" si="0">+C4+E4+G4+I4-H4-F4-D4-B4</f>
        <v>-943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29">
        <v>20570</v>
      </c>
      <c r="C5" s="11">
        <v>19264</v>
      </c>
      <c r="D5" s="11">
        <v>8272</v>
      </c>
      <c r="E5" s="11">
        <v>9000</v>
      </c>
      <c r="F5" s="11"/>
      <c r="G5" s="11"/>
      <c r="H5" s="11">
        <v>3274</v>
      </c>
      <c r="I5" s="11"/>
      <c r="J5" s="11">
        <f t="shared" si="0"/>
        <v>-3852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29">
        <v>20460</v>
      </c>
      <c r="C6" s="11">
        <v>19264</v>
      </c>
      <c r="D6" s="11">
        <v>8090</v>
      </c>
      <c r="E6" s="11">
        <v>9000</v>
      </c>
      <c r="F6" s="11"/>
      <c r="G6" s="11"/>
      <c r="H6" s="11"/>
      <c r="I6" s="11"/>
      <c r="J6" s="11">
        <f t="shared" si="0"/>
        <v>-286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29">
        <v>20200</v>
      </c>
      <c r="C7" s="11">
        <v>19264</v>
      </c>
      <c r="D7" s="11">
        <v>8341</v>
      </c>
      <c r="E7" s="11">
        <v>9000</v>
      </c>
      <c r="F7" s="11"/>
      <c r="G7" s="11"/>
      <c r="H7" s="11"/>
      <c r="I7" s="11"/>
      <c r="J7" s="11">
        <f t="shared" si="0"/>
        <v>-277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19480</v>
      </c>
      <c r="C8" s="11">
        <v>19264</v>
      </c>
      <c r="D8" s="129">
        <v>8726</v>
      </c>
      <c r="E8" s="11">
        <v>9000</v>
      </c>
      <c r="F8" s="11"/>
      <c r="G8" s="11"/>
      <c r="H8" s="11"/>
      <c r="I8" s="11"/>
      <c r="J8" s="11">
        <f t="shared" si="0"/>
        <v>58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29">
        <v>19664</v>
      </c>
      <c r="C9" s="11">
        <v>19264</v>
      </c>
      <c r="D9" s="11">
        <v>8659</v>
      </c>
      <c r="E9" s="11">
        <v>9000</v>
      </c>
      <c r="F9" s="11"/>
      <c r="G9" s="11"/>
      <c r="H9" s="11"/>
      <c r="I9" s="11"/>
      <c r="J9" s="11">
        <f t="shared" si="0"/>
        <v>-59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19522</v>
      </c>
      <c r="C10" s="11">
        <v>19264</v>
      </c>
      <c r="D10" s="129">
        <v>8267</v>
      </c>
      <c r="E10" s="11">
        <v>9000</v>
      </c>
      <c r="F10" s="11"/>
      <c r="G10" s="11"/>
      <c r="H10" s="11"/>
      <c r="I10" s="11"/>
      <c r="J10" s="11">
        <f t="shared" si="0"/>
        <v>475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29">
        <v>19534</v>
      </c>
      <c r="C11" s="11">
        <v>18764</v>
      </c>
      <c r="D11" s="11">
        <v>8970</v>
      </c>
      <c r="E11" s="11">
        <v>8500</v>
      </c>
      <c r="F11" s="11"/>
      <c r="G11" s="11"/>
      <c r="H11" s="11"/>
      <c r="I11" s="11"/>
      <c r="J11" s="11">
        <f t="shared" si="0"/>
        <v>-1240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19377</v>
      </c>
      <c r="C12" s="11">
        <v>18764</v>
      </c>
      <c r="D12" s="11">
        <v>8969</v>
      </c>
      <c r="E12" s="11">
        <v>8500</v>
      </c>
      <c r="F12" s="11"/>
      <c r="G12" s="11"/>
      <c r="H12" s="11"/>
      <c r="I12" s="11"/>
      <c r="J12" s="11">
        <f t="shared" si="0"/>
        <v>-1082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19196</v>
      </c>
      <c r="C13" s="11">
        <v>18764</v>
      </c>
      <c r="D13" s="11">
        <v>8684</v>
      </c>
      <c r="E13" s="11">
        <v>8500</v>
      </c>
      <c r="F13" s="11"/>
      <c r="G13" s="11"/>
      <c r="H13" s="11"/>
      <c r="I13" s="11"/>
      <c r="J13" s="11">
        <f t="shared" si="0"/>
        <v>-616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/>
      <c r="C14" s="11"/>
      <c r="D14" s="11">
        <v>8639</v>
      </c>
      <c r="E14" s="11">
        <v>8500</v>
      </c>
      <c r="F14" s="11"/>
      <c r="G14" s="11"/>
      <c r="H14" s="11"/>
      <c r="I14" s="11"/>
      <c r="J14" s="11">
        <f t="shared" si="0"/>
        <v>-139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198480</v>
      </c>
      <c r="C35" s="11">
        <f t="shared" ref="C35:I35" si="1">SUM(C4:C34)</f>
        <v>191140</v>
      </c>
      <c r="D35" s="11">
        <f t="shared" si="1"/>
        <v>94347</v>
      </c>
      <c r="E35" s="11">
        <f t="shared" si="1"/>
        <v>97000</v>
      </c>
      <c r="F35" s="11">
        <f t="shared" si="1"/>
        <v>0</v>
      </c>
      <c r="G35" s="11">
        <f t="shared" si="1"/>
        <v>0</v>
      </c>
      <c r="H35" s="11">
        <f t="shared" si="1"/>
        <v>3274</v>
      </c>
      <c r="I35" s="11">
        <f t="shared" si="1"/>
        <v>0</v>
      </c>
      <c r="J35" s="11">
        <f>SUM(J4:J34)</f>
        <v>-7961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+summary!H4</f>
        <v>2.0299999999999998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-16160.829999999998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52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37134</v>
      </c>
      <c r="C39" s="25"/>
      <c r="E39" s="25"/>
      <c r="G39" s="25"/>
      <c r="I39" s="25"/>
      <c r="J39" s="475">
        <v>87198.44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37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37144</v>
      </c>
      <c r="J41" s="337">
        <f>+J39+J37</f>
        <v>71037.61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52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157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+A39</f>
        <v>37134</v>
      </c>
      <c r="B46" s="32"/>
      <c r="C46" s="32"/>
      <c r="D46" s="477">
        <v>-82729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+A41</f>
        <v>37144</v>
      </c>
      <c r="B47" s="32"/>
      <c r="C47" s="32"/>
      <c r="D47" s="377">
        <f>+J35</f>
        <v>-7961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14">
        <f>+D47+D46</f>
        <v>-90690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7" workbookViewId="2">
      <selection activeCell="B42" sqref="B42"/>
    </sheetView>
    <sheetView topLeftCell="A36" workbookViewId="3">
      <selection activeCell="D46" sqref="D46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12.88671875" style="32" bestFit="1" customWidth="1"/>
    <col min="8" max="8" width="10" style="14" bestFit="1" customWidth="1"/>
    <col min="9" max="9" width="10" style="32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3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4" bestFit="1" customWidth="1"/>
    <col min="32" max="33" width="11.109375" style="14" bestFit="1" customWidth="1"/>
    <col min="34" max="34" width="10.44140625" style="14" bestFit="1" customWidth="1"/>
    <col min="35" max="35" width="10.109375" style="205" bestFit="1" customWidth="1"/>
    <col min="36" max="36" width="12.33203125" style="32" customWidth="1"/>
    <col min="37" max="37" width="12" style="47" bestFit="1" customWidth="1"/>
    <col min="38" max="38" width="11" style="239" bestFit="1" customWidth="1"/>
    <col min="39" max="39" width="10.44140625" style="203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2"/>
      <c r="O1" s="34" t="s">
        <v>78</v>
      </c>
      <c r="AD1" s="38" t="s">
        <v>79</v>
      </c>
    </row>
    <row r="2" spans="1:36" ht="16.5" customHeight="1" x14ac:dyDescent="0.25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5">
      <c r="A4" s="118" t="s">
        <v>119</v>
      </c>
      <c r="B4" s="235">
        <v>12353</v>
      </c>
      <c r="C4" s="24" t="s">
        <v>130</v>
      </c>
      <c r="D4" s="235">
        <v>500168</v>
      </c>
      <c r="E4" s="24" t="s">
        <v>80</v>
      </c>
      <c r="F4" s="24"/>
      <c r="G4" s="2">
        <v>78161</v>
      </c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f>-13751-16</f>
        <v>-13767</v>
      </c>
      <c r="E6" s="24">
        <v>-30508</v>
      </c>
      <c r="F6" s="24">
        <f>+C6+E6-B6-D6</f>
        <v>-16741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f>-6539-22239</f>
        <v>-28778</v>
      </c>
      <c r="E7" s="24">
        <v>-32145</v>
      </c>
      <c r="F7" s="24">
        <f t="shared" ref="F7:F36" si="0">+C7+E7-B7-D7</f>
        <v>-3367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>-17873-14141</f>
        <v>-32014</v>
      </c>
      <c r="E8" s="24">
        <v>-31067</v>
      </c>
      <c r="F8" s="24">
        <f t="shared" si="0"/>
        <v>947</v>
      </c>
      <c r="G8" s="215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51">
        <v>-30032</v>
      </c>
      <c r="E9" s="24">
        <v>-30437</v>
      </c>
      <c r="F9" s="24">
        <f t="shared" si="0"/>
        <v>-405</v>
      </c>
      <c r="G9" s="215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51">
        <v>-6183</v>
      </c>
      <c r="E10" s="24">
        <v>-4178</v>
      </c>
      <c r="F10" s="24">
        <f t="shared" si="0"/>
        <v>2005</v>
      </c>
      <c r="G10" s="216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v>-380</v>
      </c>
      <c r="E11" s="24">
        <v>2360</v>
      </c>
      <c r="F11" s="24">
        <f t="shared" si="0"/>
        <v>2740</v>
      </c>
      <c r="G11" s="216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51">
        <v>-22796</v>
      </c>
      <c r="E12" s="24">
        <v>-22549</v>
      </c>
      <c r="F12" s="24">
        <f t="shared" si="0"/>
        <v>247</v>
      </c>
      <c r="G12" s="216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>
        <v>4988</v>
      </c>
      <c r="F13" s="24">
        <f t="shared" si="0"/>
        <v>4988</v>
      </c>
      <c r="G13" s="216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16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16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16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16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16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16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16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16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16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16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16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16"/>
      <c r="O25" s="135"/>
      <c r="P25" s="205"/>
      <c r="Q25" s="217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16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16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16"/>
      <c r="O28" s="135"/>
      <c r="P28" s="205"/>
      <c r="Q28" s="135"/>
      <c r="R28" s="14"/>
      <c r="U28" s="14"/>
      <c r="V28" s="14"/>
      <c r="W28" s="75"/>
      <c r="X28" s="216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16"/>
      <c r="P29" s="205"/>
      <c r="Q29" s="135"/>
      <c r="R29" s="14"/>
      <c r="U29" s="14"/>
      <c r="V29" s="14"/>
      <c r="W29" s="75"/>
      <c r="X29" s="219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6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6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6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6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6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6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6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-133950</v>
      </c>
      <c r="E37" s="24">
        <f>SUM(E6:E36)</f>
        <v>-143536</v>
      </c>
      <c r="F37" s="24">
        <f>SUM(F6:F36)</f>
        <v>-9586</v>
      </c>
      <c r="G37" s="340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81</v>
      </c>
      <c r="E38" s="14"/>
      <c r="F38" s="104">
        <f>+summary!H4</f>
        <v>2.0299999999999998</v>
      </c>
      <c r="G38" s="216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-19459.579999999998</v>
      </c>
      <c r="G39" s="220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24">
        <v>37134</v>
      </c>
      <c r="E40" s="14"/>
      <c r="F40" s="482">
        <v>386003.88</v>
      </c>
      <c r="G40" s="220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24">
        <v>37142</v>
      </c>
      <c r="E41" s="14"/>
      <c r="F41" s="104">
        <f>+F40+F39</f>
        <v>366544.3</v>
      </c>
      <c r="G41" s="220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8"/>
      <c r="E43" s="209"/>
      <c r="F43" s="206"/>
      <c r="G43" s="216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8"/>
      <c r="E44" s="209"/>
      <c r="F44" s="206"/>
      <c r="G44" s="216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157</v>
      </c>
      <c r="B45" s="32"/>
      <c r="C45" s="32"/>
      <c r="D45" s="32"/>
      <c r="E45" s="209"/>
      <c r="F45" s="206"/>
      <c r="G45" s="216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37134</v>
      </c>
      <c r="B46" s="32"/>
      <c r="C46" s="32"/>
      <c r="D46" s="477">
        <v>-1212</v>
      </c>
      <c r="E46" s="209"/>
      <c r="F46" s="206"/>
      <c r="G46" s="216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37142</v>
      </c>
      <c r="B47" s="32"/>
      <c r="C47" s="32"/>
      <c r="D47" s="377">
        <f>+F37</f>
        <v>-9586</v>
      </c>
      <c r="E47" s="209"/>
      <c r="F47" s="206"/>
      <c r="G47" s="216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-10798</v>
      </c>
      <c r="E48" s="209"/>
      <c r="F48" s="206"/>
      <c r="G48" s="216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9"/>
      <c r="F49" s="206"/>
      <c r="G49" s="216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6"/>
      <c r="D50" s="208"/>
      <c r="E50" s="209"/>
      <c r="F50" s="206"/>
      <c r="G50" s="206"/>
      <c r="AD50" s="101"/>
      <c r="AE50" s="214"/>
      <c r="AF50" s="24"/>
      <c r="AG50" s="24"/>
      <c r="AH50" s="106"/>
      <c r="AI50" s="221"/>
      <c r="AJ50" s="15"/>
    </row>
    <row r="51" spans="1:36" ht="21.9" customHeight="1" thickBot="1" x14ac:dyDescent="0.25">
      <c r="C51" s="210"/>
      <c r="D51" s="208"/>
      <c r="AD51" s="101"/>
      <c r="AE51" s="214"/>
      <c r="AF51" s="24"/>
      <c r="AG51" s="24"/>
      <c r="AH51" s="106"/>
      <c r="AI51" s="222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3"/>
    </row>
    <row r="55" spans="1:36" ht="17.100000000000001" customHeight="1" x14ac:dyDescent="0.2">
      <c r="AD55" s="223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4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5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5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6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7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4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8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8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" customHeight="1" thickBot="1" x14ac:dyDescent="0.25">
      <c r="C84" s="229"/>
      <c r="D84" s="24"/>
      <c r="R84" s="14"/>
      <c r="S84" s="14"/>
      <c r="T84" s="14"/>
      <c r="U84" s="14"/>
      <c r="AD84" s="223"/>
      <c r="AE84" s="213"/>
      <c r="AF84" s="24"/>
      <c r="AG84" s="24"/>
      <c r="AH84" s="24"/>
      <c r="AI84" s="143"/>
      <c r="AJ84" s="230"/>
    </row>
    <row r="85" spans="3:36" ht="15" customHeight="1" thickTop="1" x14ac:dyDescent="0.2">
      <c r="C85" s="227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23"/>
      <c r="AE86" s="214"/>
      <c r="AF86" s="24"/>
      <c r="AG86" s="24"/>
      <c r="AH86" s="24"/>
      <c r="AI86" s="143"/>
      <c r="AJ86" s="15"/>
    </row>
    <row r="87" spans="3:36" ht="24.9" customHeight="1" thickBot="1" x14ac:dyDescent="0.25">
      <c r="C87" s="231"/>
      <c r="R87" s="14"/>
      <c r="S87" s="14"/>
      <c r="T87" s="14"/>
      <c r="U87" s="14"/>
      <c r="AD87" s="232"/>
      <c r="AE87" s="233"/>
      <c r="AF87" s="150"/>
      <c r="AG87" s="150"/>
      <c r="AH87" s="150"/>
      <c r="AI87" s="234"/>
      <c r="AJ87" s="216"/>
    </row>
    <row r="88" spans="3:36" ht="24.9" customHeight="1" thickTop="1" x14ac:dyDescent="0.2">
      <c r="C88" s="228"/>
      <c r="D88" s="24"/>
      <c r="R88" s="14"/>
      <c r="S88" s="14"/>
      <c r="T88" s="14"/>
      <c r="U88" s="14"/>
      <c r="AD88" s="38"/>
      <c r="AJ88" s="216"/>
    </row>
    <row r="89" spans="3:36" ht="15" customHeight="1" x14ac:dyDescent="0.2">
      <c r="D89" s="128"/>
      <c r="E89" s="110"/>
      <c r="F89" s="2"/>
      <c r="G89" s="12"/>
      <c r="H89" s="235"/>
      <c r="I89" s="128"/>
      <c r="J89" s="24"/>
      <c r="K89" s="12"/>
      <c r="L89" s="235"/>
      <c r="M89" s="24"/>
      <c r="N89" s="24"/>
      <c r="O89" s="12"/>
      <c r="P89" s="235"/>
      <c r="Q89" s="24"/>
      <c r="R89" s="24"/>
      <c r="S89" s="101"/>
      <c r="T89" s="235"/>
      <c r="U89" s="24"/>
      <c r="V89" s="24"/>
      <c r="AD89" s="236"/>
      <c r="AJ89" s="216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6"/>
      <c r="AJ90" s="216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6"/>
      <c r="AJ91" s="206"/>
    </row>
    <row r="92" spans="3:36" ht="15" customHeight="1" x14ac:dyDescent="0.3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6"/>
      <c r="AJ92" s="206"/>
    </row>
    <row r="93" spans="3:36" ht="15.6" x14ac:dyDescent="0.3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6"/>
    </row>
    <row r="94" spans="3:36" ht="15.6" x14ac:dyDescent="0.3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6"/>
    </row>
    <row r="95" spans="3:36" ht="15.6" x14ac:dyDescent="0.3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6"/>
    </row>
    <row r="96" spans="3:36" ht="15.6" x14ac:dyDescent="0.3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6"/>
    </row>
    <row r="97" spans="4:36" ht="15.6" x14ac:dyDescent="0.3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7"/>
    </row>
    <row r="99" spans="4:36" ht="15.6" x14ac:dyDescent="0.3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7"/>
    </row>
    <row r="100" spans="4:36" ht="15.6" x14ac:dyDescent="0.3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7"/>
      <c r="AD101" s="12"/>
      <c r="AE101" s="213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8"/>
      <c r="AD103" s="101"/>
      <c r="AE103" s="214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7"/>
      <c r="AD104" s="101"/>
      <c r="AE104" s="214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7"/>
      <c r="AD105" s="101"/>
      <c r="AE105" s="214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7"/>
      <c r="AD106" s="101"/>
      <c r="AE106" s="214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"/>
      <c r="R126" s="14"/>
      <c r="S126" s="101"/>
      <c r="T126" s="235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"/>
      <c r="R131" s="14"/>
      <c r="S131" s="12"/>
      <c r="T131" s="24"/>
      <c r="U131" s="24"/>
      <c r="V131" s="24"/>
      <c r="X131" s="237"/>
      <c r="AD131" s="101"/>
      <c r="AE131" s="214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"/>
      <c r="R132" s="14"/>
      <c r="S132" s="12"/>
      <c r="T132" s="24"/>
      <c r="U132" s="24"/>
      <c r="V132" s="24"/>
      <c r="X132" s="237"/>
      <c r="AD132" s="101"/>
      <c r="AE132" s="214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" customHeight="1" x14ac:dyDescent="0.3">
      <c r="C134" s="228"/>
      <c r="D134" s="240"/>
      <c r="E134" s="110"/>
      <c r="F134" s="2"/>
      <c r="G134" s="2"/>
      <c r="R134" s="14"/>
      <c r="S134" s="12"/>
      <c r="T134" s="24"/>
      <c r="U134" s="24"/>
      <c r="V134" s="24"/>
      <c r="X134" s="237"/>
      <c r="AD134" s="101"/>
      <c r="AE134" s="214"/>
      <c r="AF134" s="24"/>
      <c r="AG134" s="24"/>
      <c r="AH134" s="24"/>
      <c r="AI134" s="143"/>
      <c r="AJ134" s="104"/>
    </row>
    <row r="135" spans="1:36" ht="21.9" customHeight="1" x14ac:dyDescent="0.3">
      <c r="C135" s="241"/>
      <c r="D135" s="128"/>
      <c r="E135" s="110"/>
      <c r="F135" s="2"/>
      <c r="G135" s="2"/>
      <c r="R135" s="14"/>
      <c r="S135" s="12"/>
      <c r="T135" s="24"/>
      <c r="U135" s="24"/>
      <c r="V135" s="24"/>
      <c r="X135" s="237"/>
      <c r="AD135" s="101"/>
      <c r="AE135" s="214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"/>
      <c r="R137" s="14"/>
      <c r="S137" s="12"/>
      <c r="T137" s="24"/>
      <c r="U137" s="24"/>
      <c r="V137" s="24"/>
      <c r="X137" s="237"/>
      <c r="AD137" s="101"/>
      <c r="AE137" s="214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"/>
      <c r="R140" s="14"/>
      <c r="S140" s="12"/>
      <c r="T140" s="24"/>
      <c r="U140" s="24"/>
      <c r="V140" s="24"/>
      <c r="X140" s="237"/>
      <c r="AD140" s="101"/>
      <c r="AE140" s="214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"/>
      <c r="R141" s="14"/>
      <c r="S141" s="12"/>
      <c r="T141" s="24"/>
      <c r="U141" s="24"/>
      <c r="V141" s="24"/>
      <c r="X141" s="237"/>
      <c r="AD141" s="101"/>
      <c r="AE141" s="214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2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5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2"/>
      <c r="AG168" s="242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3"/>
      <c r="AB169" s="87"/>
      <c r="AC169" s="87"/>
      <c r="AD169" s="101"/>
      <c r="AE169" s="214"/>
      <c r="AF169" s="242"/>
      <c r="AG169" s="242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3"/>
      <c r="AB170" s="87"/>
      <c r="AC170" s="87"/>
      <c r="AD170" s="101"/>
      <c r="AE170" s="214"/>
      <c r="AF170" s="242"/>
      <c r="AG170" s="242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3"/>
      <c r="AB171" s="87"/>
      <c r="AC171" s="87"/>
      <c r="AD171" s="101"/>
      <c r="AE171" s="214"/>
      <c r="AF171" s="242"/>
      <c r="AG171" s="242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3"/>
      <c r="AB172" s="87"/>
      <c r="AC172" s="87"/>
      <c r="AD172" s="101"/>
      <c r="AE172" s="214"/>
      <c r="AF172" s="24"/>
      <c r="AG172" s="242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3"/>
      <c r="AB173" s="87"/>
      <c r="AC173" s="87"/>
      <c r="AD173" s="101"/>
      <c r="AE173" s="214"/>
      <c r="AF173" s="242"/>
      <c r="AG173" s="242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3"/>
      <c r="AB174" s="87"/>
      <c r="AC174" s="87"/>
      <c r="AD174" s="101"/>
      <c r="AE174" s="214"/>
      <c r="AF174" s="242"/>
      <c r="AG174" s="242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3"/>
      <c r="AB175" s="87"/>
      <c r="AC175" s="87"/>
      <c r="AD175" s="101"/>
      <c r="AE175" s="214"/>
      <c r="AF175" s="24"/>
      <c r="AG175" s="242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3"/>
      <c r="AB176" s="87"/>
      <c r="AC176" s="87"/>
      <c r="AD176" s="101"/>
      <c r="AE176" s="214"/>
      <c r="AF176" s="24"/>
      <c r="AG176" s="242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3"/>
      <c r="AB177" s="87"/>
      <c r="AC177" s="87"/>
      <c r="AD177" s="101"/>
      <c r="AE177" s="214"/>
      <c r="AF177" s="24"/>
      <c r="AG177" s="242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3"/>
      <c r="AB178" s="87"/>
      <c r="AC178" s="87"/>
      <c r="AD178" s="101"/>
      <c r="AE178" s="214"/>
      <c r="AF178" s="24"/>
      <c r="AG178" s="242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3"/>
      <c r="AB179" s="87"/>
      <c r="AC179" s="87"/>
      <c r="AD179" s="101"/>
      <c r="AE179" s="214"/>
      <c r="AF179" s="24"/>
      <c r="AG179" s="242"/>
      <c r="AH179" s="24"/>
      <c r="AI179" s="143"/>
      <c r="AJ179" s="104"/>
    </row>
    <row r="180" spans="2:36" ht="15" customHeight="1" x14ac:dyDescent="0.2">
      <c r="C180" s="228"/>
      <c r="D180" s="240"/>
      <c r="E180" s="110"/>
      <c r="R180" s="12"/>
      <c r="S180" s="24"/>
      <c r="T180" s="24"/>
      <c r="U180" s="24"/>
      <c r="X180" s="87"/>
      <c r="Y180" s="87"/>
      <c r="Z180" s="87"/>
      <c r="AA180" s="243"/>
      <c r="AB180" s="87"/>
      <c r="AC180" s="87"/>
      <c r="AD180" s="101"/>
      <c r="AE180" s="214"/>
      <c r="AF180" s="24"/>
      <c r="AG180" s="242"/>
      <c r="AH180" s="24"/>
      <c r="AI180" s="143"/>
      <c r="AJ180" s="104"/>
    </row>
    <row r="181" spans="2:36" ht="15" customHeight="1" x14ac:dyDescent="0.2">
      <c r="C181" s="228"/>
      <c r="D181" s="240"/>
      <c r="E181" s="110"/>
      <c r="R181" s="12"/>
      <c r="S181" s="24"/>
      <c r="T181" s="24"/>
      <c r="U181" s="24"/>
      <c r="X181" s="87"/>
      <c r="Y181" s="87"/>
      <c r="Z181" s="87"/>
      <c r="AA181" s="243"/>
      <c r="AB181" s="87"/>
      <c r="AC181" s="87"/>
      <c r="AD181" s="101"/>
      <c r="AE181" s="214"/>
      <c r="AF181" s="24"/>
      <c r="AG181" s="242"/>
      <c r="AH181" s="24"/>
      <c r="AI181" s="143"/>
      <c r="AJ181" s="104"/>
    </row>
    <row r="182" spans="2:36" ht="15" customHeight="1" x14ac:dyDescent="0.2">
      <c r="C182" s="228"/>
      <c r="D182" s="240"/>
      <c r="E182" s="110"/>
      <c r="R182" s="12"/>
      <c r="S182" s="24"/>
      <c r="T182" s="24"/>
      <c r="U182" s="24"/>
      <c r="X182" s="87"/>
      <c r="Y182" s="87"/>
      <c r="Z182" s="87"/>
      <c r="AA182" s="243"/>
      <c r="AB182" s="87"/>
      <c r="AC182" s="87"/>
      <c r="AD182" s="101"/>
      <c r="AE182" s="214"/>
      <c r="AF182" s="24"/>
      <c r="AG182" s="242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3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3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3"/>
      <c r="AB185" s="87"/>
      <c r="AC185" s="87"/>
      <c r="AD185" s="101"/>
      <c r="AE185" s="214"/>
      <c r="AF185" s="24"/>
      <c r="AG185" s="242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3"/>
      <c r="AB186" s="87"/>
      <c r="AC186" s="87"/>
      <c r="AD186" s="101"/>
      <c r="AE186" s="214"/>
      <c r="AF186" s="24"/>
      <c r="AG186" s="242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3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3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3"/>
      <c r="AB189" s="87"/>
      <c r="AC189" s="87"/>
      <c r="AD189" s="101"/>
      <c r="AE189" s="214"/>
      <c r="AF189" s="242"/>
      <c r="AG189" s="242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3"/>
      <c r="AB190" s="87"/>
      <c r="AC190" s="87"/>
      <c r="AD190" s="101"/>
      <c r="AE190" s="214"/>
      <c r="AF190" s="242"/>
      <c r="AG190" s="242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3"/>
      <c r="AB191" s="87"/>
      <c r="AC191" s="87"/>
      <c r="AD191" s="101"/>
      <c r="AE191" s="214"/>
      <c r="AF191" s="242"/>
      <c r="AG191" s="242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3"/>
      <c r="AB192" s="87"/>
      <c r="AC192" s="87"/>
      <c r="AD192" s="101"/>
      <c r="AE192" s="214"/>
      <c r="AF192" s="242"/>
      <c r="AG192" s="242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3"/>
      <c r="AB193" s="87"/>
      <c r="AC193" s="87"/>
      <c r="AD193" s="101"/>
      <c r="AE193" s="214"/>
      <c r="AF193" s="24"/>
      <c r="AG193" s="242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3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3"/>
      <c r="AB195" s="87"/>
      <c r="AC195" s="87"/>
      <c r="AD195" s="101"/>
      <c r="AE195" s="214"/>
      <c r="AF195" s="242"/>
      <c r="AG195" s="242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3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3"/>
      <c r="AB197" s="87"/>
      <c r="AC197" s="87"/>
      <c r="AD197" s="101"/>
      <c r="AE197" s="214"/>
      <c r="AF197" s="242"/>
      <c r="AG197" s="242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2"/>
      <c r="AG199" s="242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2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2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2"/>
      <c r="AG202" s="242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2"/>
      <c r="AG203" s="242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2"/>
      <c r="AG204" s="242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5"/>
      <c r="T207" s="24"/>
      <c r="U207" s="24"/>
      <c r="AD207" s="101"/>
      <c r="AE207" s="214"/>
      <c r="AF207" s="242"/>
      <c r="AG207" s="242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2"/>
      <c r="AG208" s="242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2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2"/>
      <c r="AG210" s="242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2"/>
      <c r="AG211" s="242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2"/>
      <c r="AG212" s="242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2"/>
      <c r="AG213" s="242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2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0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0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0"/>
      <c r="AG217" s="240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4"/>
      <c r="AG218" s="244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4"/>
      <c r="AG219" s="244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4"/>
      <c r="AG220" s="244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4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2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2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2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0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0"/>
      <c r="AG226" s="240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0"/>
      <c r="AG227" s="240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0"/>
      <c r="AG228" s="240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0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0"/>
      <c r="AG230" s="244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0"/>
      <c r="AG231" s="244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0"/>
      <c r="AG232" s="244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2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0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0"/>
      <c r="AG239" s="245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0"/>
      <c r="AG240" s="245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0"/>
      <c r="AG241" s="245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0"/>
      <c r="AG242" s="244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0"/>
      <c r="AG243" s="245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0"/>
      <c r="AG244" s="244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0"/>
      <c r="AG245" s="244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2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6"/>
      <c r="AG247" s="247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6"/>
      <c r="AG248" s="246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8"/>
      <c r="AG249" s="245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8"/>
      <c r="AG250" s="245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6"/>
      <c r="AG251" s="246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2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6"/>
      <c r="AG255" s="244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6"/>
      <c r="AG256" s="246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8"/>
      <c r="AG257" s="245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6"/>
      <c r="AG258" s="246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2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8"/>
      <c r="AG263" s="247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6"/>
      <c r="AG264" s="246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6"/>
      <c r="AG265" s="246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2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2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2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2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2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8"/>
      <c r="AG271" s="244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8"/>
      <c r="AG272" s="246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6"/>
      <c r="AG273" s="246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2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2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2"/>
      <c r="AG276" s="242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8"/>
      <c r="AG278" s="247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8"/>
      <c r="AG279" s="245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8"/>
      <c r="AG280" s="245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2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2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2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3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3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12" workbookViewId="3">
      <selection activeCell="E19" sqref="E19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111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5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5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5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5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5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5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5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5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5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5">
      <c r="A17" s="10">
        <v>10</v>
      </c>
      <c r="B17" s="11">
        <v>50</v>
      </c>
      <c r="C17" s="11"/>
      <c r="D17" s="11">
        <v>133</v>
      </c>
      <c r="E17" s="11"/>
      <c r="F17" s="25">
        <f t="shared" si="0"/>
        <v>-183</v>
      </c>
      <c r="J17" s="341"/>
    </row>
    <row r="18" spans="1:10" x14ac:dyDescent="0.25">
      <c r="A18" s="10">
        <v>11</v>
      </c>
      <c r="B18" s="11">
        <v>6398</v>
      </c>
      <c r="C18" s="11">
        <v>6000</v>
      </c>
      <c r="D18" s="11">
        <v>4497</v>
      </c>
      <c r="E18" s="11">
        <v>5210</v>
      </c>
      <c r="F18" s="25">
        <f t="shared" si="0"/>
        <v>315</v>
      </c>
      <c r="J18" s="32"/>
    </row>
    <row r="19" spans="1:10" x14ac:dyDescent="0.25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5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5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5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5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5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5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5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5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6448</v>
      </c>
      <c r="C39" s="11">
        <f>SUM(C8:C38)</f>
        <v>6000</v>
      </c>
      <c r="D39" s="11">
        <f>SUM(D8:D38)</f>
        <v>4630</v>
      </c>
      <c r="E39" s="11">
        <f>SUM(E8:E38)</f>
        <v>5210</v>
      </c>
      <c r="F39" s="25">
        <f>SUM(F8:F38)</f>
        <v>132</v>
      </c>
    </row>
    <row r="40" spans="1:6" x14ac:dyDescent="0.25">
      <c r="A40" s="26"/>
      <c r="C40" s="14"/>
      <c r="F40" s="260">
        <f>+summary!H4</f>
        <v>2.0299999999999998</v>
      </c>
    </row>
    <row r="41" spans="1:6" x14ac:dyDescent="0.25">
      <c r="F41" s="138">
        <f>+F40*F39</f>
        <v>267.95999999999998</v>
      </c>
    </row>
    <row r="42" spans="1:6" x14ac:dyDescent="0.25">
      <c r="A42" s="57">
        <v>37134</v>
      </c>
      <c r="C42" s="15"/>
      <c r="F42" s="484">
        <v>6001.93</v>
      </c>
    </row>
    <row r="43" spans="1:6" x14ac:dyDescent="0.25">
      <c r="A43" s="57">
        <v>37145</v>
      </c>
      <c r="C43" s="48"/>
      <c r="F43" s="138">
        <f>+F42+F41</f>
        <v>6269.89</v>
      </c>
    </row>
    <row r="47" spans="1:6" x14ac:dyDescent="0.25">
      <c r="A47" s="32" t="s">
        <v>157</v>
      </c>
      <c r="B47" s="32"/>
      <c r="C47" s="32"/>
      <c r="D47" s="32"/>
    </row>
    <row r="48" spans="1:6" x14ac:dyDescent="0.25">
      <c r="A48" s="49">
        <f>+A42</f>
        <v>37134</v>
      </c>
      <c r="B48" s="32"/>
      <c r="C48" s="32"/>
      <c r="D48" s="477">
        <v>-13252</v>
      </c>
    </row>
    <row r="49" spans="1:4" x14ac:dyDescent="0.25">
      <c r="A49" s="49">
        <f>+A43</f>
        <v>37145</v>
      </c>
      <c r="B49" s="32"/>
      <c r="C49" s="32"/>
      <c r="D49" s="377">
        <f>+F39</f>
        <v>132</v>
      </c>
    </row>
    <row r="50" spans="1:4" x14ac:dyDescent="0.25">
      <c r="A50" s="32"/>
      <c r="B50" s="32"/>
      <c r="C50" s="32"/>
      <c r="D50" s="14">
        <f>+D49+D48</f>
        <v>-13120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7" workbookViewId="3">
      <selection activeCell="D36" sqref="D36"/>
    </sheetView>
  </sheetViews>
  <sheetFormatPr defaultRowHeight="13.2" x14ac:dyDescent="0.25"/>
  <sheetData>
    <row r="5" spans="1:4" ht="13.8" x14ac:dyDescent="0.25">
      <c r="A5" s="134"/>
      <c r="B5" s="34" t="s">
        <v>114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11</v>
      </c>
      <c r="B7" s="6" t="s">
        <v>20</v>
      </c>
      <c r="C7" s="6" t="s">
        <v>21</v>
      </c>
    </row>
    <row r="8" spans="1:4" x14ac:dyDescent="0.25">
      <c r="A8" s="10">
        <v>1</v>
      </c>
      <c r="B8" s="11">
        <v>11969</v>
      </c>
      <c r="C8" s="11"/>
      <c r="D8" s="25">
        <f>+C8-B8</f>
        <v>-11969</v>
      </c>
    </row>
    <row r="9" spans="1:4" x14ac:dyDescent="0.25">
      <c r="A9" s="10">
        <v>2</v>
      </c>
      <c r="B9" s="11">
        <v>11965</v>
      </c>
      <c r="C9" s="11"/>
      <c r="D9" s="25">
        <f t="shared" ref="D9:D38" si="0">+C9-B9</f>
        <v>-11965</v>
      </c>
    </row>
    <row r="10" spans="1:4" x14ac:dyDescent="0.25">
      <c r="A10" s="10">
        <v>3</v>
      </c>
      <c r="B10" s="11">
        <v>4507</v>
      </c>
      <c r="C10" s="11"/>
      <c r="D10" s="25">
        <f t="shared" si="0"/>
        <v>-4507</v>
      </c>
    </row>
    <row r="11" spans="1:4" x14ac:dyDescent="0.25">
      <c r="A11" s="10">
        <v>4</v>
      </c>
      <c r="B11" s="11"/>
      <c r="C11" s="11"/>
      <c r="D11" s="25">
        <f t="shared" si="0"/>
        <v>0</v>
      </c>
    </row>
    <row r="12" spans="1:4" x14ac:dyDescent="0.25">
      <c r="A12" s="10">
        <v>5</v>
      </c>
      <c r="B12" s="11"/>
      <c r="C12" s="11"/>
      <c r="D12" s="25">
        <f t="shared" si="0"/>
        <v>0</v>
      </c>
    </row>
    <row r="13" spans="1:4" x14ac:dyDescent="0.25">
      <c r="A13" s="10">
        <v>6</v>
      </c>
      <c r="B13" s="11"/>
      <c r="C13" s="11"/>
      <c r="D13" s="25">
        <f t="shared" si="0"/>
        <v>0</v>
      </c>
    </row>
    <row r="14" spans="1:4" x14ac:dyDescent="0.25">
      <c r="A14" s="10">
        <v>7</v>
      </c>
      <c r="B14" s="11"/>
      <c r="C14" s="11"/>
      <c r="D14" s="25">
        <f t="shared" si="0"/>
        <v>0</v>
      </c>
    </row>
    <row r="15" spans="1:4" x14ac:dyDescent="0.25">
      <c r="A15" s="10">
        <v>8</v>
      </c>
      <c r="B15" s="11"/>
      <c r="C15" s="11"/>
      <c r="D15" s="25">
        <f t="shared" si="0"/>
        <v>0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/>
      <c r="D17" s="25">
        <f t="shared" si="0"/>
        <v>0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28441</v>
      </c>
      <c r="C39" s="11">
        <f>SUM(C8:C38)</f>
        <v>0</v>
      </c>
      <c r="D39" s="25">
        <f>SUM(D8:D38)</f>
        <v>-28441</v>
      </c>
    </row>
    <row r="40" spans="1:4" x14ac:dyDescent="0.25">
      <c r="A40" s="26"/>
      <c r="C40" s="14"/>
      <c r="D40" s="260">
        <f>+summary!H4</f>
        <v>2.0299999999999998</v>
      </c>
    </row>
    <row r="41" spans="1:4" x14ac:dyDescent="0.25">
      <c r="D41" s="138">
        <f>+D40*D39</f>
        <v>-57735.229999999996</v>
      </c>
    </row>
    <row r="42" spans="1:4" x14ac:dyDescent="0.25">
      <c r="A42" s="57">
        <v>37134</v>
      </c>
      <c r="C42" s="15"/>
      <c r="D42" s="368">
        <v>450250</v>
      </c>
    </row>
    <row r="43" spans="1:4" x14ac:dyDescent="0.25">
      <c r="A43" s="57">
        <v>37144</v>
      </c>
      <c r="C43" s="48"/>
      <c r="D43" s="138">
        <f>+D42+D41</f>
        <v>392514.77</v>
      </c>
    </row>
    <row r="46" spans="1:4" x14ac:dyDescent="0.25">
      <c r="A46" s="32" t="s">
        <v>157</v>
      </c>
      <c r="B46" s="32"/>
      <c r="C46" s="32"/>
      <c r="D46" s="32"/>
    </row>
    <row r="47" spans="1:4" x14ac:dyDescent="0.25">
      <c r="A47" s="49">
        <f>+A42</f>
        <v>37134</v>
      </c>
      <c r="B47" s="32"/>
      <c r="C47" s="32"/>
      <c r="D47" s="14">
        <v>50872</v>
      </c>
    </row>
    <row r="48" spans="1:4" x14ac:dyDescent="0.25">
      <c r="A48" s="49">
        <f>+A43</f>
        <v>37144</v>
      </c>
      <c r="B48" s="32"/>
      <c r="C48" s="32"/>
      <c r="D48" s="377">
        <f>+D39</f>
        <v>-28441</v>
      </c>
    </row>
    <row r="49" spans="1:4" x14ac:dyDescent="0.25">
      <c r="A49" s="32"/>
      <c r="B49" s="32"/>
      <c r="C49" s="32"/>
      <c r="D49" s="14">
        <f>+D48+D47</f>
        <v>22431</v>
      </c>
    </row>
    <row r="50" spans="1:4" x14ac:dyDescent="0.25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/>
    <sheetView topLeftCell="A26" workbookViewId="2">
      <selection activeCell="D34" sqref="D34"/>
    </sheetView>
    <sheetView topLeftCell="A26" workbookViewId="3">
      <selection activeCell="A42" sqref="A42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</cols>
  <sheetData>
    <row r="3" spans="1:4" ht="13.8" x14ac:dyDescent="0.25">
      <c r="A3" s="134"/>
      <c r="B3" s="34" t="s">
        <v>135</v>
      </c>
    </row>
    <row r="4" spans="1:4" x14ac:dyDescent="0.25">
      <c r="A4" s="3"/>
      <c r="B4" s="1">
        <v>78113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-78239</v>
      </c>
      <c r="C6" s="11">
        <v>-85300</v>
      </c>
      <c r="D6" s="25">
        <f>+C6-B6</f>
        <v>-7061</v>
      </c>
    </row>
    <row r="7" spans="1:4" x14ac:dyDescent="0.25">
      <c r="A7" s="10">
        <v>2</v>
      </c>
      <c r="B7" s="11">
        <v>-74222</v>
      </c>
      <c r="C7" s="11">
        <v>-85101</v>
      </c>
      <c r="D7" s="25">
        <f t="shared" ref="D7:D36" si="0">+C7-B7</f>
        <v>-10879</v>
      </c>
    </row>
    <row r="8" spans="1:4" x14ac:dyDescent="0.25">
      <c r="A8" s="10">
        <v>3</v>
      </c>
      <c r="B8" s="11">
        <v>-78756</v>
      </c>
      <c r="C8" s="11">
        <v>-71658</v>
      </c>
      <c r="D8" s="25">
        <f t="shared" si="0"/>
        <v>7098</v>
      </c>
    </row>
    <row r="9" spans="1:4" x14ac:dyDescent="0.25">
      <c r="A9" s="10">
        <v>4</v>
      </c>
      <c r="B9" s="11">
        <v>-82484</v>
      </c>
      <c r="C9" s="11">
        <v>-65890</v>
      </c>
      <c r="D9" s="25">
        <f t="shared" si="0"/>
        <v>16594</v>
      </c>
    </row>
    <row r="10" spans="1:4" x14ac:dyDescent="0.25">
      <c r="A10" s="10">
        <v>5</v>
      </c>
      <c r="B10" s="11">
        <v>-72415</v>
      </c>
      <c r="C10" s="11">
        <v>-62441</v>
      </c>
      <c r="D10" s="25">
        <f t="shared" si="0"/>
        <v>9974</v>
      </c>
    </row>
    <row r="11" spans="1:4" x14ac:dyDescent="0.25">
      <c r="A11" s="10">
        <v>6</v>
      </c>
      <c r="B11" s="11">
        <v>-77980</v>
      </c>
      <c r="C11" s="11">
        <v>-71332</v>
      </c>
      <c r="D11" s="25">
        <f t="shared" si="0"/>
        <v>6648</v>
      </c>
    </row>
    <row r="12" spans="1:4" x14ac:dyDescent="0.25">
      <c r="A12" s="10">
        <v>7</v>
      </c>
      <c r="B12" s="11">
        <v>-76345</v>
      </c>
      <c r="C12" s="11">
        <v>-81863</v>
      </c>
      <c r="D12" s="25">
        <f t="shared" si="0"/>
        <v>-5518</v>
      </c>
    </row>
    <row r="13" spans="1:4" x14ac:dyDescent="0.25">
      <c r="A13" s="10">
        <v>8</v>
      </c>
      <c r="B13" s="11">
        <v>-78285</v>
      </c>
      <c r="C13" s="11">
        <v>-81938</v>
      </c>
      <c r="D13" s="25">
        <f t="shared" si="0"/>
        <v>-3653</v>
      </c>
    </row>
    <row r="14" spans="1:4" x14ac:dyDescent="0.25">
      <c r="A14" s="10">
        <v>9</v>
      </c>
      <c r="B14" s="11">
        <v>-79383</v>
      </c>
      <c r="C14" s="11">
        <v>-81100</v>
      </c>
      <c r="D14" s="25">
        <f t="shared" si="0"/>
        <v>-1717</v>
      </c>
    </row>
    <row r="15" spans="1:4" x14ac:dyDescent="0.25">
      <c r="A15" s="10">
        <v>10</v>
      </c>
      <c r="B15" s="11">
        <v>-80612</v>
      </c>
      <c r="C15" s="11">
        <v>-80889</v>
      </c>
      <c r="D15" s="25">
        <f t="shared" si="0"/>
        <v>-277</v>
      </c>
    </row>
    <row r="16" spans="1:4" x14ac:dyDescent="0.25">
      <c r="A16" s="10">
        <v>11</v>
      </c>
      <c r="B16" s="11">
        <v>-77102</v>
      </c>
      <c r="C16" s="11">
        <v>-79550</v>
      </c>
      <c r="D16" s="25">
        <f t="shared" si="0"/>
        <v>-2448</v>
      </c>
    </row>
    <row r="17" spans="1:4" x14ac:dyDescent="0.25">
      <c r="A17" s="10">
        <v>12</v>
      </c>
      <c r="B17" s="11">
        <v>-80401</v>
      </c>
      <c r="C17" s="11">
        <v>-81880</v>
      </c>
      <c r="D17" s="25">
        <f t="shared" si="0"/>
        <v>-1479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08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08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08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-936224</v>
      </c>
      <c r="C37" s="11">
        <f>SUM(C6:C36)</f>
        <v>-928942</v>
      </c>
      <c r="D37" s="25">
        <f>SUM(D6:D36)</f>
        <v>7282</v>
      </c>
    </row>
    <row r="38" spans="1:4" x14ac:dyDescent="0.25">
      <c r="A38" s="26"/>
      <c r="C38" s="14"/>
      <c r="D38" s="345">
        <f>+summary!H4</f>
        <v>2.0299999999999998</v>
      </c>
    </row>
    <row r="39" spans="1:4" x14ac:dyDescent="0.25">
      <c r="D39" s="138">
        <f>+D38*D37</f>
        <v>14782.46</v>
      </c>
    </row>
    <row r="40" spans="1:4" x14ac:dyDescent="0.25">
      <c r="A40" s="57">
        <v>37134</v>
      </c>
      <c r="C40" s="15"/>
      <c r="D40" s="440">
        <v>81630</v>
      </c>
    </row>
    <row r="41" spans="1:4" x14ac:dyDescent="0.25">
      <c r="A41" s="57">
        <v>37146</v>
      </c>
      <c r="C41" s="48"/>
      <c r="D41" s="138">
        <f>+D40+D39</f>
        <v>96412.459999999992</v>
      </c>
    </row>
    <row r="44" spans="1:4" x14ac:dyDescent="0.25">
      <c r="A44" s="32" t="s">
        <v>157</v>
      </c>
      <c r="B44" s="32"/>
      <c r="C44" s="32"/>
      <c r="D44" s="32"/>
    </row>
    <row r="45" spans="1:4" x14ac:dyDescent="0.25">
      <c r="A45" s="49">
        <f>+A40</f>
        <v>37134</v>
      </c>
      <c r="B45" s="32"/>
      <c r="C45" s="32"/>
      <c r="D45" s="212">
        <v>130472</v>
      </c>
    </row>
    <row r="46" spans="1:4" x14ac:dyDescent="0.25">
      <c r="A46" s="49">
        <f>+A41</f>
        <v>37146</v>
      </c>
      <c r="B46" s="32"/>
      <c r="C46" s="32"/>
      <c r="D46" s="377">
        <f>+D37</f>
        <v>7282</v>
      </c>
    </row>
    <row r="47" spans="1:4" x14ac:dyDescent="0.25">
      <c r="A47" s="32"/>
      <c r="B47" s="32"/>
      <c r="C47" s="32"/>
      <c r="D47" s="14">
        <f>+D46+D45</f>
        <v>137754</v>
      </c>
    </row>
    <row r="48" spans="1:4" x14ac:dyDescent="0.25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topLeftCell="A26" workbookViewId="2">
      <selection activeCell="D41" sqref="D41"/>
    </sheetView>
    <sheetView topLeftCell="A24" workbookViewId="3">
      <selection activeCell="A42" sqref="A42"/>
    </sheetView>
  </sheetViews>
  <sheetFormatPr defaultRowHeight="13.2" x14ac:dyDescent="0.25"/>
  <sheetData>
    <row r="3" spans="1:4" ht="13.8" x14ac:dyDescent="0.25">
      <c r="A3" s="134"/>
      <c r="B3" s="34" t="s">
        <v>133</v>
      </c>
    </row>
    <row r="4" spans="1:4" x14ac:dyDescent="0.25">
      <c r="A4" s="3"/>
      <c r="B4" s="1">
        <v>78093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35974</v>
      </c>
      <c r="C6" s="11">
        <v>36623</v>
      </c>
      <c r="D6" s="25">
        <f>+C6-B6</f>
        <v>649</v>
      </c>
    </row>
    <row r="7" spans="1:4" x14ac:dyDescent="0.25">
      <c r="A7" s="10">
        <v>2</v>
      </c>
      <c r="B7" s="11">
        <v>35392</v>
      </c>
      <c r="C7" s="11">
        <v>33797</v>
      </c>
      <c r="D7" s="25">
        <f t="shared" ref="D7:D36" si="0">+C7-B7</f>
        <v>-1595</v>
      </c>
    </row>
    <row r="8" spans="1:4" x14ac:dyDescent="0.25">
      <c r="A8" s="10">
        <v>3</v>
      </c>
      <c r="B8" s="11">
        <v>33223</v>
      </c>
      <c r="C8" s="11">
        <v>35432</v>
      </c>
      <c r="D8" s="25">
        <f t="shared" si="0"/>
        <v>2209</v>
      </c>
    </row>
    <row r="9" spans="1:4" x14ac:dyDescent="0.25">
      <c r="A9" s="10">
        <v>4</v>
      </c>
      <c r="B9" s="11">
        <v>31492</v>
      </c>
      <c r="C9" s="11">
        <v>36700</v>
      </c>
      <c r="D9" s="25">
        <f t="shared" si="0"/>
        <v>5208</v>
      </c>
    </row>
    <row r="10" spans="1:4" x14ac:dyDescent="0.25">
      <c r="A10" s="10">
        <v>5</v>
      </c>
      <c r="B10" s="11">
        <v>35052</v>
      </c>
      <c r="C10" s="11">
        <v>36700</v>
      </c>
      <c r="D10" s="25">
        <f t="shared" si="0"/>
        <v>1648</v>
      </c>
    </row>
    <row r="11" spans="1:4" x14ac:dyDescent="0.25">
      <c r="A11" s="10">
        <v>6</v>
      </c>
      <c r="B11" s="129">
        <v>36108</v>
      </c>
      <c r="C11" s="11">
        <v>36700</v>
      </c>
      <c r="D11" s="25">
        <f t="shared" si="0"/>
        <v>592</v>
      </c>
    </row>
    <row r="12" spans="1:4" x14ac:dyDescent="0.25">
      <c r="A12" s="10">
        <v>7</v>
      </c>
      <c r="B12" s="129">
        <v>35863</v>
      </c>
      <c r="C12" s="11">
        <v>32076</v>
      </c>
      <c r="D12" s="25">
        <f t="shared" si="0"/>
        <v>-3787</v>
      </c>
    </row>
    <row r="13" spans="1:4" x14ac:dyDescent="0.25">
      <c r="A13" s="10">
        <v>8</v>
      </c>
      <c r="B13" s="129">
        <v>36319</v>
      </c>
      <c r="C13" s="11">
        <v>36700</v>
      </c>
      <c r="D13" s="25">
        <f t="shared" si="0"/>
        <v>381</v>
      </c>
    </row>
    <row r="14" spans="1:4" x14ac:dyDescent="0.25">
      <c r="A14" s="10">
        <v>9</v>
      </c>
      <c r="B14" s="129">
        <v>35937</v>
      </c>
      <c r="C14" s="11">
        <v>36700</v>
      </c>
      <c r="D14" s="25">
        <f t="shared" si="0"/>
        <v>763</v>
      </c>
    </row>
    <row r="15" spans="1:4" x14ac:dyDescent="0.25">
      <c r="A15" s="10">
        <v>10</v>
      </c>
      <c r="B15" s="129">
        <v>35688</v>
      </c>
      <c r="C15" s="11">
        <v>36700</v>
      </c>
      <c r="D15" s="25">
        <f t="shared" si="0"/>
        <v>1012</v>
      </c>
    </row>
    <row r="16" spans="1:4" x14ac:dyDescent="0.25">
      <c r="A16" s="10">
        <v>11</v>
      </c>
      <c r="B16" s="129">
        <v>29460</v>
      </c>
      <c r="C16" s="11">
        <v>36700</v>
      </c>
      <c r="D16" s="25">
        <f t="shared" si="0"/>
        <v>7240</v>
      </c>
    </row>
    <row r="17" spans="1:4" x14ac:dyDescent="0.25">
      <c r="A17" s="10">
        <v>12</v>
      </c>
      <c r="B17" s="129"/>
      <c r="C17" s="11"/>
      <c r="D17" s="25">
        <f t="shared" si="0"/>
        <v>0</v>
      </c>
    </row>
    <row r="18" spans="1:4" x14ac:dyDescent="0.25">
      <c r="A18" s="10">
        <v>13</v>
      </c>
      <c r="B18" s="129"/>
      <c r="C18" s="11"/>
      <c r="D18" s="25">
        <f t="shared" si="0"/>
        <v>0</v>
      </c>
    </row>
    <row r="19" spans="1:4" x14ac:dyDescent="0.25">
      <c r="A19" s="10">
        <v>14</v>
      </c>
      <c r="B19" s="129"/>
      <c r="C19" s="11"/>
      <c r="D19" s="25">
        <f t="shared" si="0"/>
        <v>0</v>
      </c>
    </row>
    <row r="20" spans="1:4" x14ac:dyDescent="0.25">
      <c r="A20" s="10">
        <v>15</v>
      </c>
      <c r="B20" s="129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380508</v>
      </c>
      <c r="C37" s="11">
        <f>SUM(C6:C36)</f>
        <v>394828</v>
      </c>
      <c r="D37" s="25">
        <f>SUM(D6:D36)</f>
        <v>14320</v>
      </c>
    </row>
    <row r="38" spans="1:4" x14ac:dyDescent="0.25">
      <c r="A38" s="26"/>
      <c r="C38" s="14"/>
      <c r="D38" s="345">
        <f>+summary!H5</f>
        <v>2.0699999999999998</v>
      </c>
    </row>
    <row r="39" spans="1:4" x14ac:dyDescent="0.25">
      <c r="D39" s="138">
        <f>+D38*D37</f>
        <v>29642.399999999998</v>
      </c>
    </row>
    <row r="40" spans="1:4" x14ac:dyDescent="0.25">
      <c r="A40" s="57">
        <v>37134</v>
      </c>
      <c r="C40" s="15"/>
      <c r="D40" s="359">
        <v>-36026</v>
      </c>
    </row>
    <row r="41" spans="1:4" x14ac:dyDescent="0.25">
      <c r="A41" s="57">
        <v>37145</v>
      </c>
      <c r="C41" s="48"/>
      <c r="D41" s="138">
        <f>+D40+D39</f>
        <v>-6383.6000000000022</v>
      </c>
    </row>
    <row r="44" spans="1:4" x14ac:dyDescent="0.25">
      <c r="A44" s="32" t="s">
        <v>157</v>
      </c>
      <c r="B44" s="32"/>
      <c r="C44" s="32"/>
      <c r="D44" s="32"/>
    </row>
    <row r="45" spans="1:4" x14ac:dyDescent="0.25">
      <c r="A45" s="49">
        <f>+A40</f>
        <v>37134</v>
      </c>
      <c r="B45" s="32"/>
      <c r="C45" s="32"/>
      <c r="D45" s="212">
        <v>-1369</v>
      </c>
    </row>
    <row r="46" spans="1:4" x14ac:dyDescent="0.25">
      <c r="A46" s="49">
        <f>+A41</f>
        <v>37145</v>
      </c>
      <c r="B46" s="32"/>
      <c r="C46" s="32"/>
      <c r="D46" s="377">
        <f>+D37</f>
        <v>14320</v>
      </c>
    </row>
    <row r="47" spans="1:4" x14ac:dyDescent="0.25">
      <c r="A47" s="32"/>
      <c r="B47" s="32"/>
      <c r="C47" s="32"/>
      <c r="D47" s="14">
        <f>+D46+D45</f>
        <v>12951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opLeftCell="A2" workbookViewId="1">
      <selection activeCell="G11" sqref="G11"/>
    </sheetView>
    <sheetView topLeftCell="A26" workbookViewId="2">
      <selection activeCell="J38" sqref="J38"/>
    </sheetView>
    <sheetView workbookViewId="3">
      <selection activeCell="C16" sqref="C16"/>
    </sheetView>
  </sheetViews>
  <sheetFormatPr defaultRowHeight="13.2" x14ac:dyDescent="0.25"/>
  <cols>
    <col min="2" max="2" width="9.88671875" bestFit="1" customWidth="1"/>
    <col min="3" max="3" width="10.6640625" bestFit="1" customWidth="1"/>
    <col min="4" max="5" width="9.88671875" bestFit="1" customWidth="1"/>
    <col min="8" max="8" width="9.88671875" customWidth="1"/>
    <col min="9" max="9" width="9.33203125" bestFit="1" customWidth="1"/>
    <col min="14" max="14" width="9.88671875" bestFit="1" customWidth="1"/>
    <col min="15" max="15" width="12" bestFit="1" customWidth="1"/>
    <col min="16" max="16" width="10.6640625" style="267" bestFit="1" customWidth="1"/>
    <col min="17" max="17" width="8" style="445" bestFit="1" customWidth="1"/>
    <col min="18" max="18" width="11.44140625" style="267" bestFit="1" customWidth="1"/>
  </cols>
  <sheetData>
    <row r="1" spans="1:35" x14ac:dyDescent="0.25">
      <c r="B1" s="1" t="s">
        <v>129</v>
      </c>
      <c r="D1" s="1" t="s">
        <v>8</v>
      </c>
      <c r="F1" s="1" t="s">
        <v>9</v>
      </c>
      <c r="H1" s="1" t="s">
        <v>10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88"/>
      <c r="R2" s="15"/>
      <c r="S2" s="32"/>
      <c r="T2" s="32"/>
    </row>
    <row r="3" spans="1:35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44"/>
      <c r="N3" s="2"/>
      <c r="O3" s="2"/>
      <c r="P3" s="104"/>
      <c r="Q3" s="143" t="s">
        <v>59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275259</v>
      </c>
      <c r="C4" s="11">
        <v>281503</v>
      </c>
      <c r="D4" s="11">
        <v>69344</v>
      </c>
      <c r="E4" s="11">
        <v>72956</v>
      </c>
      <c r="F4" s="11">
        <v>70029</v>
      </c>
      <c r="G4" s="11">
        <v>60311</v>
      </c>
      <c r="H4" s="11">
        <v>80665</v>
      </c>
      <c r="I4" s="11">
        <v>75085</v>
      </c>
      <c r="J4" s="11">
        <f t="shared" ref="J4:J34" si="0">+C4+E4+G4+I4-H4-F4-D4-B4</f>
        <v>-5442</v>
      </c>
      <c r="M4" s="444" t="s">
        <v>40</v>
      </c>
      <c r="N4" s="4" t="s">
        <v>20</v>
      </c>
      <c r="O4" s="4" t="s">
        <v>21</v>
      </c>
      <c r="P4" s="442" t="s">
        <v>51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286090</v>
      </c>
      <c r="C5" s="11">
        <v>306045</v>
      </c>
      <c r="D5" s="11">
        <v>63458</v>
      </c>
      <c r="E5" s="11">
        <v>72956</v>
      </c>
      <c r="F5" s="11">
        <v>59329</v>
      </c>
      <c r="G5" s="11">
        <v>62968</v>
      </c>
      <c r="H5" s="11">
        <v>93352</v>
      </c>
      <c r="I5" s="11">
        <v>60047</v>
      </c>
      <c r="J5" s="11">
        <f t="shared" si="0"/>
        <v>-213</v>
      </c>
      <c r="M5" s="444"/>
      <c r="N5" s="14"/>
      <c r="O5" s="14"/>
      <c r="P5" s="14">
        <f t="shared" ref="P5:P13" si="1">+O5-N5</f>
        <v>0</v>
      </c>
      <c r="Q5" s="388"/>
      <c r="R5" s="75">
        <f t="shared" ref="R5:R13" si="2">+Q5*P5</f>
        <v>0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294630</v>
      </c>
      <c r="C6" s="11">
        <v>290625</v>
      </c>
      <c r="D6" s="11">
        <v>56674</v>
      </c>
      <c r="E6" s="11">
        <v>72956</v>
      </c>
      <c r="F6" s="11">
        <v>58162</v>
      </c>
      <c r="G6" s="11">
        <v>54990</v>
      </c>
      <c r="H6" s="11">
        <v>61099</v>
      </c>
      <c r="I6" s="11">
        <v>60047</v>
      </c>
      <c r="J6" s="11">
        <f t="shared" si="0"/>
        <v>8053</v>
      </c>
      <c r="M6" s="444">
        <v>36861</v>
      </c>
      <c r="N6" s="24">
        <v>19698194</v>
      </c>
      <c r="O6" s="24">
        <v>19662410</v>
      </c>
      <c r="P6" s="14">
        <f t="shared" si="1"/>
        <v>-35784</v>
      </c>
      <c r="Q6" s="388">
        <v>7.95</v>
      </c>
      <c r="R6" s="75">
        <f t="shared" si="2"/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305300</v>
      </c>
      <c r="C7" s="11">
        <v>278666</v>
      </c>
      <c r="D7" s="11">
        <v>45173</v>
      </c>
      <c r="E7" s="11">
        <v>72956</v>
      </c>
      <c r="F7" s="11">
        <v>50926</v>
      </c>
      <c r="G7" s="11">
        <v>56783</v>
      </c>
      <c r="H7" s="11">
        <v>70201</v>
      </c>
      <c r="I7" s="11">
        <v>59892</v>
      </c>
      <c r="J7" s="11">
        <f t="shared" si="0"/>
        <v>-3303</v>
      </c>
      <c r="M7" s="444">
        <v>36892</v>
      </c>
      <c r="N7" s="24">
        <v>18949781</v>
      </c>
      <c r="O7" s="14">
        <v>18975457</v>
      </c>
      <c r="P7" s="14">
        <f t="shared" si="1"/>
        <v>25676</v>
      </c>
      <c r="Q7" s="388">
        <v>8.1</v>
      </c>
      <c r="R7" s="75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296996</v>
      </c>
      <c r="C8" s="11">
        <v>298827</v>
      </c>
      <c r="D8" s="129">
        <v>72358</v>
      </c>
      <c r="E8" s="11">
        <v>72955</v>
      </c>
      <c r="F8" s="11">
        <v>60526</v>
      </c>
      <c r="G8" s="11">
        <v>52457</v>
      </c>
      <c r="H8" s="129">
        <v>106632</v>
      </c>
      <c r="I8" s="11">
        <v>109953</v>
      </c>
      <c r="J8" s="11">
        <f t="shared" si="0"/>
        <v>-2320</v>
      </c>
      <c r="M8" s="444">
        <v>36923</v>
      </c>
      <c r="N8" s="24">
        <v>15193330</v>
      </c>
      <c r="O8" s="14">
        <v>15256233</v>
      </c>
      <c r="P8" s="14">
        <f t="shared" si="1"/>
        <v>62903</v>
      </c>
      <c r="Q8" s="388">
        <v>5.61</v>
      </c>
      <c r="R8" s="75">
        <f t="shared" si="2"/>
        <v>352885.83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321837</v>
      </c>
      <c r="C9" s="11">
        <v>320618</v>
      </c>
      <c r="D9" s="11">
        <v>73894</v>
      </c>
      <c r="E9" s="11">
        <v>72956</v>
      </c>
      <c r="F9" s="11">
        <v>59574</v>
      </c>
      <c r="G9" s="11">
        <v>58414</v>
      </c>
      <c r="H9" s="11">
        <v>97078</v>
      </c>
      <c r="I9" s="11">
        <v>96567</v>
      </c>
      <c r="J9" s="11">
        <f t="shared" si="0"/>
        <v>-3828</v>
      </c>
      <c r="M9" s="444">
        <v>36951</v>
      </c>
      <c r="N9" s="24">
        <v>17049350</v>
      </c>
      <c r="O9" s="14">
        <v>17089226</v>
      </c>
      <c r="P9" s="14">
        <f t="shared" si="1"/>
        <v>39876</v>
      </c>
      <c r="Q9" s="388">
        <v>4.87</v>
      </c>
      <c r="R9" s="75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294336</v>
      </c>
      <c r="C10" s="11">
        <v>288119</v>
      </c>
      <c r="D10" s="129">
        <v>73085</v>
      </c>
      <c r="E10" s="11">
        <v>72956</v>
      </c>
      <c r="F10" s="129">
        <v>66209</v>
      </c>
      <c r="G10" s="11">
        <v>59520</v>
      </c>
      <c r="H10" s="129">
        <v>102596</v>
      </c>
      <c r="I10" s="11">
        <v>108994</v>
      </c>
      <c r="J10" s="11">
        <f t="shared" si="0"/>
        <v>-6637</v>
      </c>
      <c r="M10" s="444">
        <v>36982</v>
      </c>
      <c r="N10" s="24">
        <v>17652369</v>
      </c>
      <c r="O10" s="14">
        <v>17743987</v>
      </c>
      <c r="P10" s="14">
        <f t="shared" si="1"/>
        <v>91618</v>
      </c>
      <c r="Q10" s="388">
        <v>4.62</v>
      </c>
      <c r="R10" s="75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335913</v>
      </c>
      <c r="C11" s="11">
        <v>313363</v>
      </c>
      <c r="D11" s="11">
        <v>41184</v>
      </c>
      <c r="E11" s="11">
        <v>57956</v>
      </c>
      <c r="F11" s="11">
        <v>60789</v>
      </c>
      <c r="G11" s="11">
        <v>60685</v>
      </c>
      <c r="H11" s="11">
        <v>114585</v>
      </c>
      <c r="I11" s="11">
        <v>113362</v>
      </c>
      <c r="J11" s="11">
        <f t="shared" si="0"/>
        <v>-7105</v>
      </c>
      <c r="M11" s="444">
        <v>37012</v>
      </c>
      <c r="N11" s="24">
        <v>16124989</v>
      </c>
      <c r="O11" s="14">
        <v>16282021</v>
      </c>
      <c r="P11" s="14">
        <f t="shared" si="1"/>
        <v>157032</v>
      </c>
      <c r="Q11" s="388">
        <v>3.44</v>
      </c>
      <c r="R11" s="75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324398</v>
      </c>
      <c r="C12" s="11">
        <v>316977</v>
      </c>
      <c r="D12" s="11">
        <v>71825</v>
      </c>
      <c r="E12" s="11">
        <v>72956</v>
      </c>
      <c r="F12" s="11">
        <v>62342</v>
      </c>
      <c r="G12" s="11">
        <v>62897</v>
      </c>
      <c r="H12" s="11">
        <v>118352</v>
      </c>
      <c r="I12" s="11">
        <v>115056</v>
      </c>
      <c r="J12" s="11">
        <f t="shared" si="0"/>
        <v>-9031</v>
      </c>
      <c r="M12" s="444">
        <v>37043</v>
      </c>
      <c r="N12" s="24">
        <v>15928675</v>
      </c>
      <c r="O12" s="14">
        <v>15936227</v>
      </c>
      <c r="P12" s="14">
        <f t="shared" si="1"/>
        <v>7552</v>
      </c>
      <c r="Q12" s="388">
        <v>2.4500000000000002</v>
      </c>
      <c r="R12" s="75">
        <f t="shared" si="2"/>
        <v>18502.400000000001</v>
      </c>
      <c r="S12" s="21"/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>
        <v>297356</v>
      </c>
      <c r="C13" s="11">
        <v>324409</v>
      </c>
      <c r="D13" s="129">
        <v>71852</v>
      </c>
      <c r="E13" s="11">
        <v>72956</v>
      </c>
      <c r="F13" s="129">
        <v>61608</v>
      </c>
      <c r="G13" s="11">
        <v>63378</v>
      </c>
      <c r="H13" s="129">
        <v>130859</v>
      </c>
      <c r="I13" s="11">
        <v>119204</v>
      </c>
      <c r="J13" s="11">
        <f t="shared" si="0"/>
        <v>18272</v>
      </c>
      <c r="M13" s="444">
        <v>37073</v>
      </c>
      <c r="N13" s="24">
        <v>16669639</v>
      </c>
      <c r="O13" s="14">
        <v>16693576</v>
      </c>
      <c r="P13" s="14">
        <f t="shared" si="1"/>
        <v>23937</v>
      </c>
      <c r="Q13" s="388">
        <v>2.4500000000000002</v>
      </c>
      <c r="R13" s="75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282398</v>
      </c>
      <c r="C14" s="11">
        <v>250750</v>
      </c>
      <c r="D14" s="11">
        <v>72080</v>
      </c>
      <c r="E14" s="11">
        <v>72956</v>
      </c>
      <c r="F14" s="11">
        <v>70350</v>
      </c>
      <c r="G14" s="11">
        <v>64373</v>
      </c>
      <c r="H14" s="11">
        <v>107979</v>
      </c>
      <c r="I14" s="11">
        <v>115292</v>
      </c>
      <c r="J14" s="11">
        <f t="shared" si="0"/>
        <v>-29436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307301</v>
      </c>
      <c r="C15" s="11">
        <v>313278</v>
      </c>
      <c r="D15" s="11">
        <v>73384</v>
      </c>
      <c r="E15" s="11">
        <v>72956</v>
      </c>
      <c r="F15" s="11">
        <v>73230</v>
      </c>
      <c r="G15" s="11">
        <v>69483</v>
      </c>
      <c r="H15" s="11">
        <v>136385</v>
      </c>
      <c r="I15" s="11">
        <v>129079</v>
      </c>
      <c r="J15" s="11">
        <f t="shared" si="0"/>
        <v>-5504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44"/>
      <c r="N17" s="24"/>
      <c r="O17" s="14"/>
      <c r="P17" s="14">
        <f>+O17-N17</f>
        <v>0</v>
      </c>
      <c r="Q17" s="388"/>
      <c r="R17" s="75">
        <f>+Q17*P17</f>
        <v>0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44"/>
      <c r="N18" s="24"/>
      <c r="O18" s="14"/>
      <c r="P18" s="14"/>
      <c r="Q18" s="388"/>
      <c r="R18" s="110"/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M19" s="444"/>
      <c r="N19" s="14"/>
      <c r="O19" s="14"/>
      <c r="P19" s="14"/>
      <c r="Q19" s="388"/>
      <c r="R19" s="15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M20" s="444"/>
      <c r="N20" s="14"/>
      <c r="O20" s="14"/>
      <c r="P20" s="15"/>
      <c r="Q20" s="388"/>
      <c r="R20" s="15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44"/>
      <c r="N21" s="24"/>
      <c r="O21" s="24"/>
      <c r="P21" s="110"/>
      <c r="Q21" s="446"/>
      <c r="R21" s="110"/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32"/>
      <c r="N22" s="24"/>
      <c r="O22" s="24"/>
      <c r="P22" s="24">
        <f>SUM(P5:P21)</f>
        <v>372810</v>
      </c>
      <c r="Q22" s="446"/>
      <c r="R22" s="110">
        <f>SUM(R5:R21)</f>
        <v>1511188.0399999998</v>
      </c>
      <c r="S22" s="21"/>
      <c r="T22" s="104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M23" s="32"/>
      <c r="N23" s="24"/>
      <c r="O23" s="24"/>
      <c r="P23" s="110"/>
      <c r="Q23" s="446"/>
      <c r="R23" s="110"/>
      <c r="S23" s="21"/>
      <c r="T23" s="104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32"/>
      <c r="N24" s="24"/>
      <c r="O24" s="24"/>
      <c r="P24" s="110"/>
      <c r="Q24" s="446"/>
      <c r="R24" s="110"/>
      <c r="S24" s="21"/>
      <c r="T24" s="104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32"/>
      <c r="N25" s="24"/>
      <c r="O25" s="24"/>
      <c r="P25" s="110"/>
      <c r="Q25" s="446"/>
      <c r="R25" s="110"/>
      <c r="S25" s="21"/>
      <c r="T25" s="104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/>
      <c r="O26" s="24"/>
      <c r="P26" s="110"/>
      <c r="Q26" s="446"/>
      <c r="R26" s="110"/>
      <c r="S26" s="21"/>
      <c r="T26" s="104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/>
      <c r="O27" s="24"/>
      <c r="P27" s="110"/>
      <c r="Q27" s="446"/>
      <c r="R27" s="110"/>
      <c r="S27" s="21"/>
      <c r="T27" s="104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46"/>
      <c r="R28" s="110"/>
      <c r="S28" s="21"/>
      <c r="T28" s="104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46"/>
      <c r="R29" s="110"/>
      <c r="S29" s="21"/>
      <c r="T29" s="104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46"/>
      <c r="R30" s="110"/>
      <c r="S30" s="21"/>
      <c r="T30" s="104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46"/>
      <c r="R31" s="110"/>
      <c r="S31" s="21"/>
      <c r="T31" s="104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88"/>
      <c r="R32" s="110"/>
      <c r="S32" s="21"/>
      <c r="T32" s="104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88"/>
      <c r="R33" s="110"/>
      <c r="S33" s="21"/>
      <c r="T33" s="104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88"/>
      <c r="R34" s="110"/>
      <c r="S34" s="21"/>
      <c r="T34" s="104"/>
      <c r="U34" s="16"/>
      <c r="V34" s="15"/>
      <c r="W34" s="13"/>
    </row>
    <row r="35" spans="1:23" x14ac:dyDescent="0.25">
      <c r="A35" s="10"/>
      <c r="B35" s="11">
        <f>SUM(B4:B34)</f>
        <v>3621814</v>
      </c>
      <c r="C35" s="11">
        <f t="shared" ref="C35:I35" si="3">SUM(C4:C34)</f>
        <v>3583180</v>
      </c>
      <c r="D35" s="11">
        <f t="shared" si="3"/>
        <v>784311</v>
      </c>
      <c r="E35" s="11">
        <f t="shared" si="3"/>
        <v>860471</v>
      </c>
      <c r="F35" s="11">
        <f t="shared" si="3"/>
        <v>753074</v>
      </c>
      <c r="G35" s="11">
        <f t="shared" si="3"/>
        <v>726259</v>
      </c>
      <c r="H35" s="11">
        <f t="shared" si="3"/>
        <v>1219783</v>
      </c>
      <c r="I35" s="11">
        <f t="shared" si="3"/>
        <v>1162578</v>
      </c>
      <c r="J35" s="11">
        <f>SUM(J4:J34)</f>
        <v>-46494</v>
      </c>
      <c r="M35" s="32"/>
      <c r="N35" s="24"/>
      <c r="O35" s="32"/>
      <c r="P35" s="15"/>
      <c r="Q35" s="388"/>
      <c r="R35" s="110"/>
      <c r="S35" s="21"/>
      <c r="T35" s="104"/>
      <c r="U35" s="16"/>
      <c r="V35" s="15"/>
      <c r="W35" s="13"/>
    </row>
    <row r="36" spans="1:23" x14ac:dyDescent="0.25">
      <c r="M36" s="32"/>
      <c r="N36" s="24"/>
      <c r="O36" s="32"/>
      <c r="P36" s="15"/>
      <c r="Q36" s="388"/>
      <c r="R36" s="110"/>
      <c r="S36" s="19"/>
      <c r="T36" s="104"/>
      <c r="U36" s="16"/>
      <c r="V36" s="15"/>
      <c r="W36" s="13"/>
    </row>
    <row r="37" spans="1:23" x14ac:dyDescent="0.25">
      <c r="H37" s="14"/>
      <c r="I37" s="14"/>
      <c r="M37" s="32"/>
      <c r="N37" s="24"/>
      <c r="O37" s="32"/>
      <c r="P37" s="15"/>
      <c r="Q37" s="388"/>
      <c r="R37" s="110"/>
      <c r="S37" s="19"/>
      <c r="T37" s="104"/>
      <c r="U37" s="16"/>
      <c r="V37" s="15"/>
      <c r="W37" s="13"/>
    </row>
    <row r="38" spans="1:23" x14ac:dyDescent="0.25">
      <c r="A38" s="56">
        <v>37134</v>
      </c>
      <c r="C38" s="25"/>
      <c r="E38" s="25"/>
      <c r="G38" s="25"/>
      <c r="I38" s="25"/>
      <c r="J38" s="468">
        <v>275390</v>
      </c>
      <c r="M38" s="32"/>
      <c r="N38" s="24"/>
      <c r="O38" s="32"/>
      <c r="P38" s="15"/>
      <c r="Q38" s="388"/>
      <c r="R38" s="110"/>
      <c r="S38" s="19"/>
      <c r="T38" s="104"/>
      <c r="U38" s="16"/>
      <c r="V38" s="15"/>
      <c r="W38" s="13"/>
    </row>
    <row r="39" spans="1:23" x14ac:dyDescent="0.25">
      <c r="J39" s="24"/>
      <c r="M39" s="32"/>
      <c r="N39" s="24"/>
      <c r="O39" s="32"/>
      <c r="P39" s="15"/>
      <c r="Q39" s="388"/>
      <c r="R39" s="110"/>
      <c r="S39" s="19"/>
      <c r="T39" s="104"/>
      <c r="U39" s="16"/>
      <c r="V39" s="15"/>
      <c r="W39" s="13"/>
    </row>
    <row r="40" spans="1:23" x14ac:dyDescent="0.25">
      <c r="A40" s="33">
        <v>37145</v>
      </c>
      <c r="J40" s="51">
        <f>+J38+J35</f>
        <v>228896</v>
      </c>
      <c r="M40" s="32"/>
      <c r="N40" s="24"/>
      <c r="O40" s="32"/>
      <c r="P40" s="15"/>
      <c r="Q40" s="388"/>
      <c r="R40" s="110"/>
      <c r="S40" s="19"/>
      <c r="T40" s="104"/>
      <c r="U40" s="16"/>
      <c r="V40" s="15"/>
      <c r="W40" s="13"/>
    </row>
    <row r="41" spans="1:23" x14ac:dyDescent="0.25">
      <c r="M41" s="32"/>
      <c r="N41" s="24"/>
      <c r="O41" s="32"/>
      <c r="P41" s="15"/>
      <c r="Q41" s="388"/>
      <c r="R41" s="110"/>
      <c r="S41" s="19"/>
      <c r="T41" s="104"/>
      <c r="U41" s="16"/>
      <c r="V41" s="15"/>
      <c r="W41" s="13"/>
    </row>
    <row r="42" spans="1:23" x14ac:dyDescent="0.25">
      <c r="M42" s="32"/>
      <c r="N42" s="24"/>
      <c r="O42" s="32"/>
      <c r="P42" s="15"/>
      <c r="Q42" s="388"/>
      <c r="R42" s="110"/>
      <c r="S42" s="19"/>
      <c r="T42" s="104"/>
      <c r="U42" s="16"/>
      <c r="V42" s="15"/>
      <c r="W42" s="13"/>
    </row>
    <row r="43" spans="1:23" x14ac:dyDescent="0.25">
      <c r="M43" s="32"/>
      <c r="N43" s="24"/>
      <c r="O43" s="32"/>
      <c r="P43" s="15"/>
      <c r="Q43" s="388"/>
      <c r="R43" s="110"/>
      <c r="S43" s="19"/>
      <c r="T43" s="104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01"/>
      <c r="N44" s="24"/>
      <c r="O44" s="32"/>
      <c r="P44" s="15"/>
      <c r="Q44" s="388"/>
      <c r="R44" s="110"/>
      <c r="S44" s="19"/>
      <c r="T44" s="104"/>
      <c r="U44" s="16"/>
      <c r="V44" s="15"/>
      <c r="W44" s="13"/>
    </row>
    <row r="45" spans="1:23" x14ac:dyDescent="0.25">
      <c r="A45" s="32" t="s">
        <v>158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88"/>
      <c r="R45" s="110"/>
      <c r="S45" s="19"/>
      <c r="T45" s="104"/>
      <c r="U45" s="16"/>
      <c r="V45" s="15"/>
      <c r="W45" s="13"/>
    </row>
    <row r="46" spans="1:23" x14ac:dyDescent="0.25">
      <c r="A46" s="49">
        <f>+A38</f>
        <v>37134</v>
      </c>
      <c r="B46" s="32"/>
      <c r="C46" s="32"/>
      <c r="D46" s="469">
        <v>1288237.99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88"/>
      <c r="R46" s="110"/>
      <c r="S46" s="19"/>
      <c r="T46" s="104"/>
      <c r="U46" s="16"/>
      <c r="V46" s="15"/>
      <c r="W46" s="13"/>
    </row>
    <row r="47" spans="1:23" x14ac:dyDescent="0.25">
      <c r="A47" s="49">
        <f>+A40</f>
        <v>37145</v>
      </c>
      <c r="B47" s="32"/>
      <c r="C47" s="32"/>
      <c r="D47" s="406">
        <f>+J35*'by type_area'!J3</f>
        <v>-90198.36</v>
      </c>
      <c r="E47" s="11"/>
      <c r="F47" s="11"/>
      <c r="G47" s="11"/>
      <c r="H47" s="11"/>
      <c r="I47" s="11"/>
      <c r="J47" s="11"/>
      <c r="K47" s="2"/>
      <c r="M47" s="101"/>
      <c r="N47" s="32"/>
      <c r="O47" s="32"/>
      <c r="P47" s="15"/>
      <c r="Q47" s="388"/>
      <c r="R47" s="110"/>
      <c r="S47" s="19"/>
      <c r="T47" s="104"/>
      <c r="U47" s="16"/>
      <c r="V47" s="15"/>
      <c r="W47" s="13"/>
    </row>
    <row r="48" spans="1:23" x14ac:dyDescent="0.25">
      <c r="A48" s="32"/>
      <c r="B48" s="32"/>
      <c r="C48" s="32"/>
      <c r="D48" s="202">
        <f>+D47+D46</f>
        <v>1198039.6299999999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88"/>
      <c r="R48" s="15"/>
      <c r="S48" s="19"/>
      <c r="T48" s="32"/>
    </row>
    <row r="49" spans="1:20" x14ac:dyDescent="0.25">
      <c r="A49" s="139"/>
      <c r="B49" s="119"/>
      <c r="C49" s="140"/>
      <c r="D49" s="407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88"/>
      <c r="R49" s="15"/>
      <c r="S49" s="32"/>
      <c r="T49" s="32"/>
    </row>
    <row r="50" spans="1:20" x14ac:dyDescent="0.25">
      <c r="A50" s="10"/>
      <c r="B50" s="11"/>
      <c r="C50" s="11"/>
      <c r="D50" s="408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88"/>
      <c r="R50" s="15"/>
      <c r="S50" s="32"/>
      <c r="T50" s="32"/>
    </row>
    <row r="51" spans="1:20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88"/>
      <c r="R51" s="15"/>
      <c r="S51" s="32"/>
      <c r="T51" s="32"/>
    </row>
    <row r="52" spans="1:20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88"/>
      <c r="R52" s="15"/>
      <c r="S52" s="32"/>
      <c r="T52" s="32"/>
    </row>
    <row r="53" spans="1:20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88"/>
      <c r="R53" s="15"/>
      <c r="S53" s="32"/>
      <c r="T53" s="32"/>
    </row>
    <row r="54" spans="1:20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88"/>
      <c r="R54" s="15"/>
      <c r="S54" s="32"/>
      <c r="T54" s="32"/>
    </row>
    <row r="55" spans="1:20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88"/>
      <c r="R55" s="15"/>
      <c r="S55" s="32"/>
      <c r="T55" s="32"/>
    </row>
    <row r="56" spans="1:20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88"/>
      <c r="R56" s="15"/>
      <c r="S56" s="32"/>
      <c r="T56" s="32"/>
    </row>
    <row r="57" spans="1:20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88"/>
      <c r="R57" s="15"/>
      <c r="S57" s="32"/>
      <c r="T57" s="32"/>
    </row>
    <row r="58" spans="1:20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88"/>
      <c r="R58" s="15"/>
      <c r="S58" s="32"/>
      <c r="T58" s="32"/>
    </row>
    <row r="59" spans="1:20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88"/>
      <c r="R59" s="15"/>
      <c r="S59" s="32"/>
      <c r="T59" s="32"/>
    </row>
    <row r="60" spans="1:20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88"/>
      <c r="R60" s="15"/>
      <c r="S60" s="32"/>
      <c r="T60" s="32"/>
    </row>
    <row r="61" spans="1:20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88"/>
      <c r="R61" s="15"/>
      <c r="S61" s="32"/>
      <c r="T61" s="32"/>
    </row>
    <row r="62" spans="1:20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88"/>
      <c r="R62" s="15"/>
      <c r="S62" s="32"/>
      <c r="T62" s="32"/>
    </row>
    <row r="63" spans="1:20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88"/>
      <c r="R63" s="15"/>
      <c r="S63" s="32"/>
      <c r="T63" s="32"/>
    </row>
    <row r="64" spans="1:20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88"/>
      <c r="R64" s="15"/>
      <c r="S64" s="32"/>
      <c r="T64" s="32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88"/>
      <c r="R65" s="15"/>
      <c r="S65" s="32"/>
      <c r="T65" s="32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88"/>
      <c r="R66" s="15"/>
      <c r="S66" s="32"/>
      <c r="T66" s="32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88"/>
      <c r="R67" s="15"/>
      <c r="S67" s="32"/>
      <c r="T67" s="3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46"/>
      <c r="R68" s="110"/>
      <c r="S68" s="19"/>
      <c r="T68" s="138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46"/>
      <c r="R69" s="110"/>
      <c r="S69" s="19"/>
      <c r="T69" s="138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46"/>
      <c r="R70" s="110"/>
      <c r="S70" s="19"/>
      <c r="T70" s="138"/>
    </row>
    <row r="71" spans="1:20" x14ac:dyDescent="0.25">
      <c r="A71" s="10"/>
      <c r="B71" s="11"/>
      <c r="C71" s="11"/>
      <c r="D71" s="28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46"/>
      <c r="R71" s="110"/>
      <c r="S71" s="19"/>
      <c r="T71" s="138"/>
    </row>
    <row r="72" spans="1:20" x14ac:dyDescent="0.25">
      <c r="A72" s="10"/>
      <c r="B72" s="11"/>
      <c r="C72" s="11"/>
      <c r="D72" s="28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46"/>
      <c r="R72" s="110"/>
      <c r="S72" s="19"/>
      <c r="T72" s="138"/>
    </row>
    <row r="73" spans="1:20" x14ac:dyDescent="0.25">
      <c r="A73" s="10"/>
      <c r="B73" s="11"/>
      <c r="C73" s="11"/>
      <c r="D73" s="28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46"/>
      <c r="R73" s="110"/>
      <c r="S73" s="19"/>
      <c r="T73" s="138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46"/>
      <c r="R74" s="110"/>
      <c r="S74" s="21"/>
      <c r="T74" s="138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46"/>
      <c r="R75" s="110"/>
      <c r="S75" s="21"/>
      <c r="T75" s="138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46"/>
      <c r="R76" s="110"/>
      <c r="S76" s="21"/>
      <c r="T76" s="138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46"/>
      <c r="R77" s="110"/>
      <c r="S77" s="21"/>
      <c r="T77" s="138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46"/>
      <c r="R78" s="110"/>
      <c r="S78" s="21"/>
      <c r="T78" s="138"/>
    </row>
    <row r="79" spans="1:20" x14ac:dyDescent="0.25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46"/>
      <c r="R79" s="110"/>
      <c r="S79" s="21"/>
      <c r="T79" s="138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46"/>
      <c r="R80" s="110"/>
      <c r="S80" s="21"/>
      <c r="T80" s="138"/>
    </row>
    <row r="81" spans="1:20" x14ac:dyDescent="0.25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46"/>
      <c r="R81" s="110"/>
      <c r="S81" s="32"/>
      <c r="T81" s="138"/>
    </row>
    <row r="82" spans="1:20" x14ac:dyDescent="0.25">
      <c r="A82" s="26"/>
      <c r="K82" s="2"/>
      <c r="M82" s="101"/>
      <c r="N82" s="24"/>
      <c r="O82" s="24"/>
      <c r="P82" s="110"/>
      <c r="Q82" s="446"/>
      <c r="R82" s="110"/>
      <c r="S82" s="32"/>
      <c r="T82" s="138"/>
    </row>
    <row r="83" spans="1:20" x14ac:dyDescent="0.25">
      <c r="A83" s="26"/>
      <c r="K83" s="2"/>
      <c r="M83" s="101"/>
      <c r="N83" s="24"/>
      <c r="O83" s="24"/>
      <c r="P83" s="110"/>
      <c r="Q83" s="446"/>
      <c r="R83" s="110"/>
      <c r="S83" s="32"/>
      <c r="T83" s="138"/>
    </row>
    <row r="84" spans="1:20" x14ac:dyDescent="0.25">
      <c r="A84" s="26"/>
      <c r="K84" s="2"/>
      <c r="M84" s="101"/>
      <c r="N84" s="24"/>
      <c r="O84" s="24"/>
      <c r="P84" s="110"/>
      <c r="Q84" s="446"/>
      <c r="R84" s="110"/>
      <c r="S84" s="32"/>
      <c r="T84" s="138"/>
    </row>
    <row r="85" spans="1:20" x14ac:dyDescent="0.25">
      <c r="A85" s="26"/>
      <c r="K85" s="2"/>
      <c r="M85" s="101"/>
      <c r="N85" s="24"/>
      <c r="O85" s="24"/>
      <c r="P85" s="110"/>
      <c r="Q85" s="446"/>
      <c r="R85" s="110"/>
      <c r="S85" s="32"/>
      <c r="T85" s="138"/>
    </row>
    <row r="86" spans="1:20" x14ac:dyDescent="0.25">
      <c r="A86" s="26"/>
      <c r="K86" s="2"/>
      <c r="M86" s="101"/>
      <c r="N86" s="24"/>
      <c r="O86" s="24"/>
      <c r="P86" s="110"/>
      <c r="Q86" s="446"/>
      <c r="R86" s="110"/>
      <c r="S86" s="32"/>
      <c r="T86" s="138"/>
    </row>
    <row r="87" spans="1:20" x14ac:dyDescent="0.25">
      <c r="A87" s="26"/>
      <c r="K87" s="2"/>
      <c r="M87" s="101"/>
      <c r="N87" s="24"/>
      <c r="O87" s="24"/>
      <c r="P87" s="110"/>
      <c r="Q87" s="446"/>
      <c r="R87" s="110"/>
      <c r="S87" s="32"/>
      <c r="T87" s="138"/>
    </row>
    <row r="88" spans="1:20" x14ac:dyDescent="0.25">
      <c r="B88" s="1"/>
      <c r="D88" s="1"/>
      <c r="F88" s="1"/>
      <c r="H88" s="1"/>
      <c r="K88" s="2"/>
      <c r="M88" s="101"/>
      <c r="N88" s="24"/>
      <c r="O88" s="24"/>
      <c r="P88" s="110"/>
      <c r="Q88" s="446"/>
      <c r="R88" s="110"/>
      <c r="S88" s="32"/>
      <c r="T88" s="138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46"/>
      <c r="R89" s="110"/>
      <c r="S89" s="32"/>
      <c r="T89" s="138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88"/>
      <c r="R91" s="15"/>
      <c r="S91" s="32"/>
      <c r="T91" s="3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88"/>
      <c r="R92" s="15"/>
      <c r="S92" s="32"/>
      <c r="T92" s="3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88"/>
      <c r="R93" s="15"/>
      <c r="S93" s="32"/>
      <c r="T93" s="3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88"/>
      <c r="R94" s="15"/>
      <c r="S94" s="32"/>
      <c r="T94" s="3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88"/>
      <c r="R95" s="15"/>
      <c r="S95" s="32"/>
      <c r="T95" s="3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88"/>
      <c r="R96" s="15"/>
      <c r="S96" s="32"/>
      <c r="T96" s="32"/>
    </row>
    <row r="97" spans="1:2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88"/>
      <c r="R97" s="15"/>
      <c r="S97" s="32"/>
      <c r="T97" s="32"/>
    </row>
    <row r="98" spans="1:2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88"/>
      <c r="R98" s="15"/>
      <c r="S98" s="32"/>
      <c r="T98" s="32"/>
    </row>
    <row r="99" spans="1:2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88"/>
      <c r="R99" s="15"/>
      <c r="S99" s="32"/>
      <c r="T99" s="32"/>
    </row>
    <row r="100" spans="1:2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88"/>
      <c r="R100" s="15"/>
      <c r="S100" s="32"/>
      <c r="T100" s="32"/>
    </row>
    <row r="101" spans="1:2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88"/>
      <c r="R101" s="15"/>
      <c r="S101" s="32"/>
      <c r="T101" s="32"/>
    </row>
    <row r="102" spans="1:2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88"/>
      <c r="R102" s="15"/>
      <c r="S102" s="32"/>
      <c r="T102" s="32"/>
    </row>
    <row r="103" spans="1:2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88"/>
      <c r="R103" s="15"/>
      <c r="S103" s="32"/>
      <c r="T103" s="32"/>
    </row>
    <row r="104" spans="1:2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88"/>
      <c r="R104" s="15"/>
      <c r="S104" s="32"/>
      <c r="T104" s="32"/>
    </row>
    <row r="105" spans="1:2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88"/>
      <c r="R105" s="15"/>
      <c r="S105" s="32"/>
      <c r="T105" s="32"/>
    </row>
    <row r="106" spans="1:2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88"/>
      <c r="R106" s="15"/>
      <c r="S106" s="32"/>
      <c r="T106" s="32"/>
    </row>
    <row r="107" spans="1:2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88"/>
      <c r="R107" s="15"/>
      <c r="S107" s="32"/>
      <c r="T107" s="32"/>
    </row>
    <row r="108" spans="1:2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88"/>
      <c r="R108" s="15"/>
      <c r="S108" s="32"/>
      <c r="T108" s="32"/>
    </row>
    <row r="109" spans="1:2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88"/>
      <c r="R109" s="15"/>
      <c r="S109" s="32"/>
      <c r="T109" s="32"/>
    </row>
    <row r="110" spans="1:20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20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20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447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42"/>
      <c r="Q255" s="143"/>
      <c r="R255" s="442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43"/>
      <c r="Q256" s="448"/>
      <c r="R256" s="443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46"/>
      <c r="R257" s="102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46"/>
      <c r="R258" s="102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46"/>
      <c r="R259" s="102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46"/>
      <c r="R260" s="102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46"/>
      <c r="R261" s="102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46"/>
      <c r="R262" s="102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46"/>
      <c r="R263" s="102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46"/>
      <c r="R264" s="102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46"/>
      <c r="R265" s="102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46"/>
      <c r="R266" s="102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46"/>
      <c r="R267" s="102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46"/>
      <c r="R268" s="102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46"/>
      <c r="R269" s="102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46"/>
      <c r="R270" s="102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46"/>
      <c r="R271" s="102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46"/>
      <c r="R272" s="102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46"/>
      <c r="R273" s="102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46"/>
      <c r="R274" s="102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46"/>
      <c r="R275" s="102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46"/>
      <c r="R276" s="102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46"/>
      <c r="R277" s="102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46"/>
      <c r="R278" s="102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46"/>
      <c r="R279" s="102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46"/>
      <c r="R280" s="102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46"/>
      <c r="R281" s="102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46"/>
      <c r="R282" s="102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46"/>
      <c r="R283" s="102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46"/>
      <c r="R284" s="102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46"/>
      <c r="R285" s="102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46"/>
      <c r="R286" s="102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46"/>
      <c r="R287" s="102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46"/>
      <c r="R288" s="102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447"/>
      <c r="S295" s="1"/>
    </row>
    <row r="296" spans="9:21" x14ac:dyDescent="0.25">
      <c r="K296" s="2"/>
      <c r="M296" s="30"/>
      <c r="N296" s="4"/>
      <c r="O296" s="4"/>
      <c r="P296" s="442"/>
      <c r="Q296" s="143"/>
      <c r="R296" s="442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443"/>
      <c r="Q297" s="448"/>
      <c r="R297" s="443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02"/>
      <c r="Q298" s="446"/>
      <c r="R298" s="102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02"/>
      <c r="Q299" s="446"/>
      <c r="R299" s="102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02"/>
      <c r="Q300" s="446"/>
      <c r="R300" s="102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02"/>
      <c r="Q301" s="446"/>
      <c r="R301" s="102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02"/>
      <c r="Q302" s="446"/>
      <c r="R302" s="102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02"/>
      <c r="Q303" s="446"/>
      <c r="R303" s="102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02"/>
      <c r="Q304" s="446"/>
      <c r="R304" s="102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02"/>
      <c r="Q305" s="446"/>
      <c r="R305" s="102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02"/>
      <c r="Q306" s="446"/>
      <c r="R306" s="102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02"/>
      <c r="Q307" s="446"/>
      <c r="R307" s="102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02"/>
      <c r="Q308" s="446"/>
      <c r="R308" s="102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02"/>
      <c r="Q309" s="446"/>
      <c r="R309" s="102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02"/>
      <c r="Q310" s="446"/>
      <c r="R310" s="102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02"/>
      <c r="Q311" s="446"/>
      <c r="R311" s="102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02"/>
      <c r="Q312" s="446"/>
      <c r="R312" s="102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02"/>
      <c r="Q313" s="446"/>
      <c r="R313" s="102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02"/>
      <c r="Q314" s="446"/>
      <c r="R314" s="102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02"/>
      <c r="Q315" s="446"/>
      <c r="R315" s="102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02"/>
      <c r="Q316" s="446"/>
      <c r="R316" s="102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02"/>
      <c r="Q317" s="446"/>
      <c r="R317" s="102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02"/>
      <c r="Q318" s="446"/>
      <c r="R318" s="102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02"/>
      <c r="Q319" s="446"/>
      <c r="R319" s="102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02"/>
      <c r="Q320" s="446"/>
      <c r="R320" s="102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02"/>
      <c r="Q321" s="446"/>
      <c r="R321" s="102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02"/>
      <c r="Q322" s="446"/>
      <c r="R322" s="102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02"/>
      <c r="Q323" s="446"/>
      <c r="R323" s="102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02"/>
      <c r="Q324" s="446"/>
      <c r="R324" s="102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02"/>
      <c r="Q325" s="446"/>
      <c r="R325" s="102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02"/>
      <c r="Q326" s="446"/>
      <c r="R326" s="102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02"/>
      <c r="Q327" s="446"/>
      <c r="R327" s="102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02"/>
      <c r="Q328" s="446"/>
      <c r="R328" s="102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02"/>
      <c r="Q329" s="446"/>
      <c r="R329" s="102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104"/>
      <c r="R332" s="104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447"/>
      <c r="S337" s="1"/>
    </row>
    <row r="338" spans="11:21" x14ac:dyDescent="0.25">
      <c r="K338" s="2"/>
      <c r="M338" s="30"/>
      <c r="N338" s="4"/>
      <c r="O338" s="4"/>
      <c r="P338" s="442"/>
      <c r="Q338" s="143"/>
      <c r="R338" s="442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443"/>
      <c r="Q339" s="448"/>
      <c r="R339" s="443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02"/>
      <c r="Q340" s="446"/>
      <c r="R340" s="102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02"/>
      <c r="Q341" s="446"/>
      <c r="R341" s="102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02"/>
      <c r="Q342" s="446"/>
      <c r="R342" s="102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02"/>
      <c r="Q343" s="446"/>
      <c r="R343" s="102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02"/>
      <c r="Q344" s="446"/>
      <c r="R344" s="102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02"/>
      <c r="Q345" s="446"/>
      <c r="R345" s="102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02"/>
      <c r="Q346" s="446"/>
      <c r="R346" s="102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02"/>
      <c r="Q347" s="446"/>
      <c r="R347" s="102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02"/>
      <c r="Q348" s="446"/>
      <c r="R348" s="102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02"/>
      <c r="Q349" s="446"/>
      <c r="R349" s="102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02"/>
      <c r="Q350" s="446"/>
      <c r="R350" s="102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02"/>
      <c r="Q351" s="446"/>
      <c r="R351" s="102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02"/>
      <c r="Q352" s="446"/>
      <c r="R352" s="102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02"/>
      <c r="Q353" s="446"/>
      <c r="R353" s="102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02"/>
      <c r="Q354" s="446"/>
      <c r="R354" s="102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02"/>
      <c r="Q355" s="446"/>
      <c r="R355" s="102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02"/>
      <c r="Q356" s="446"/>
      <c r="R356" s="102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02"/>
      <c r="Q357" s="446"/>
      <c r="R357" s="102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02"/>
      <c r="Q358" s="446"/>
      <c r="R358" s="102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02"/>
      <c r="Q359" s="446"/>
      <c r="R359" s="102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02"/>
      <c r="Q360" s="446"/>
      <c r="R360" s="102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02"/>
      <c r="Q361" s="446"/>
      <c r="R361" s="102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02"/>
      <c r="Q362" s="446"/>
      <c r="R362" s="102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02"/>
      <c r="Q363" s="446"/>
      <c r="R363" s="102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02"/>
      <c r="Q364" s="446"/>
      <c r="R364" s="102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02"/>
      <c r="Q365" s="446"/>
      <c r="R365" s="102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02"/>
      <c r="Q366" s="446"/>
      <c r="R366" s="102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02"/>
      <c r="Q367" s="446"/>
      <c r="R367" s="102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02"/>
      <c r="Q368" s="446"/>
      <c r="R368" s="102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02"/>
      <c r="Q369" s="446"/>
      <c r="R369" s="102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02"/>
      <c r="Q370" s="446"/>
      <c r="R370" s="102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02"/>
      <c r="Q371" s="446"/>
      <c r="R371" s="102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104"/>
      <c r="R374" s="104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447"/>
      <c r="S379" s="1"/>
    </row>
    <row r="380" spans="11:21" x14ac:dyDescent="0.25">
      <c r="K380" s="2"/>
      <c r="M380" s="30"/>
      <c r="N380" s="4"/>
      <c r="O380" s="4"/>
      <c r="P380" s="442"/>
      <c r="Q380" s="143"/>
      <c r="R380" s="442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443"/>
      <c r="Q381" s="448"/>
      <c r="R381" s="443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02"/>
      <c r="Q382" s="446"/>
      <c r="R382" s="102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02"/>
      <c r="Q383" s="446"/>
      <c r="R383" s="102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02"/>
      <c r="Q384" s="446"/>
      <c r="R384" s="102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02"/>
      <c r="Q385" s="446"/>
      <c r="R385" s="102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02"/>
      <c r="Q386" s="446"/>
      <c r="R386" s="102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02"/>
      <c r="Q387" s="446"/>
      <c r="R387" s="102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02"/>
      <c r="Q388" s="446"/>
      <c r="R388" s="102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02"/>
      <c r="Q389" s="446"/>
      <c r="R389" s="102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02"/>
      <c r="Q390" s="446"/>
      <c r="R390" s="102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02"/>
      <c r="Q391" s="446"/>
      <c r="R391" s="102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02"/>
      <c r="Q392" s="446"/>
      <c r="R392" s="102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02"/>
      <c r="Q393" s="446"/>
      <c r="R393" s="102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02"/>
      <c r="Q394" s="446"/>
      <c r="R394" s="102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02"/>
      <c r="Q395" s="446"/>
      <c r="R395" s="102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02"/>
      <c r="Q396" s="446"/>
      <c r="R396" s="102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02"/>
      <c r="Q397" s="446"/>
      <c r="R397" s="102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02"/>
      <c r="Q398" s="446"/>
      <c r="R398" s="102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02"/>
      <c r="Q399" s="446"/>
      <c r="R399" s="102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02"/>
      <c r="Q400" s="446"/>
      <c r="R400" s="102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02"/>
      <c r="Q401" s="446"/>
      <c r="R401" s="102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02"/>
      <c r="Q402" s="446"/>
      <c r="R402" s="102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02"/>
      <c r="Q403" s="446"/>
      <c r="R403" s="102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02"/>
      <c r="Q404" s="446"/>
      <c r="R404" s="102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02"/>
      <c r="Q405" s="446"/>
      <c r="R405" s="102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02"/>
      <c r="Q406" s="446"/>
      <c r="R406" s="102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02"/>
      <c r="Q407" s="446"/>
      <c r="R407" s="102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02"/>
      <c r="Q408" s="446"/>
      <c r="R408" s="102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02"/>
      <c r="Q409" s="446"/>
      <c r="R409" s="102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02"/>
      <c r="Q410" s="446"/>
      <c r="R410" s="102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02"/>
      <c r="Q411" s="446"/>
      <c r="R411" s="102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02"/>
      <c r="Q412" s="446"/>
      <c r="R412" s="102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02"/>
      <c r="Q413" s="446"/>
      <c r="R413" s="102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104"/>
      <c r="R416" s="104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447"/>
      <c r="S423" s="1"/>
    </row>
    <row r="424" spans="11:21" x14ac:dyDescent="0.25">
      <c r="K424" s="2"/>
      <c r="M424" s="30"/>
      <c r="N424" s="4"/>
      <c r="O424" s="4"/>
      <c r="P424" s="442"/>
      <c r="Q424" s="143"/>
      <c r="R424" s="442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443"/>
      <c r="Q425" s="448"/>
      <c r="R425" s="443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02"/>
      <c r="Q426" s="446"/>
      <c r="R426" s="102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02"/>
      <c r="Q427" s="446"/>
      <c r="R427" s="102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02"/>
      <c r="Q428" s="446"/>
      <c r="R428" s="102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02"/>
      <c r="Q429" s="446"/>
      <c r="R429" s="102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02"/>
      <c r="Q430" s="446"/>
      <c r="R430" s="102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02"/>
      <c r="Q431" s="446"/>
      <c r="R431" s="102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02"/>
      <c r="Q432" s="446"/>
      <c r="R432" s="102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02"/>
      <c r="Q433" s="446"/>
      <c r="R433" s="102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02"/>
      <c r="Q434" s="446"/>
      <c r="R434" s="102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02"/>
      <c r="Q435" s="446"/>
      <c r="R435" s="102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02"/>
      <c r="Q436" s="446"/>
      <c r="R436" s="102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02"/>
      <c r="Q437" s="446"/>
      <c r="R437" s="102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02"/>
      <c r="Q438" s="446"/>
      <c r="R438" s="102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02"/>
      <c r="Q439" s="446"/>
      <c r="R439" s="102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02"/>
      <c r="Q440" s="446"/>
      <c r="R440" s="102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02"/>
      <c r="Q441" s="446"/>
      <c r="R441" s="102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02"/>
      <c r="Q442" s="446"/>
      <c r="R442" s="102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02"/>
      <c r="Q443" s="446"/>
      <c r="R443" s="102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02"/>
      <c r="Q444" s="446"/>
      <c r="R444" s="102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02"/>
      <c r="Q445" s="446"/>
      <c r="R445" s="102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02"/>
      <c r="Q446" s="446"/>
      <c r="R446" s="102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02"/>
      <c r="Q447" s="446"/>
      <c r="R447" s="102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02"/>
      <c r="Q448" s="446"/>
      <c r="R448" s="102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02"/>
      <c r="Q449" s="446"/>
      <c r="R449" s="102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02"/>
      <c r="Q450" s="446"/>
      <c r="R450" s="102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02"/>
      <c r="Q451" s="446"/>
      <c r="R451" s="102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02"/>
      <c r="Q452" s="446"/>
      <c r="R452" s="102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02"/>
      <c r="Q453" s="446"/>
      <c r="R453" s="102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02"/>
      <c r="Q454" s="446"/>
      <c r="R454" s="102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02"/>
      <c r="Q455" s="446"/>
      <c r="R455" s="102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02"/>
      <c r="Q456" s="446"/>
      <c r="R456" s="102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02"/>
      <c r="Q457" s="446"/>
      <c r="R457" s="102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104"/>
      <c r="R460" s="104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447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42"/>
      <c r="Q466" s="143"/>
      <c r="R466" s="442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443"/>
      <c r="Q467" s="448"/>
      <c r="R467" s="443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02"/>
      <c r="Q468" s="446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02"/>
      <c r="Q469" s="446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02"/>
      <c r="Q470" s="446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02"/>
      <c r="Q471" s="446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02"/>
      <c r="Q472" s="446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02"/>
      <c r="Q473" s="446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02"/>
      <c r="Q474" s="446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02"/>
      <c r="Q475" s="446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02"/>
      <c r="Q476" s="446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02"/>
      <c r="Q477" s="446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02"/>
      <c r="Q478" s="446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02"/>
      <c r="Q479" s="446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02"/>
      <c r="Q480" s="446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02"/>
      <c r="Q481" s="446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02"/>
      <c r="Q482" s="446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02"/>
      <c r="Q483" s="446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02"/>
      <c r="Q484" s="446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02"/>
      <c r="Q485" s="446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02"/>
      <c r="Q486" s="446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02"/>
      <c r="Q487" s="446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02"/>
      <c r="Q488" s="446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02"/>
      <c r="Q489" s="446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02"/>
      <c r="Q490" s="446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02"/>
      <c r="Q491" s="446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02"/>
      <c r="Q492" s="446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02"/>
      <c r="Q493" s="446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02"/>
      <c r="Q494" s="446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02"/>
      <c r="Q495" s="446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02"/>
      <c r="Q496" s="446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02"/>
      <c r="Q497" s="446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02"/>
      <c r="Q498" s="446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02"/>
      <c r="Q499" s="446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6" workbookViewId="3">
      <selection activeCell="C40" sqref="C40"/>
    </sheetView>
  </sheetViews>
  <sheetFormatPr defaultRowHeight="13.2" x14ac:dyDescent="0.25"/>
  <sheetData>
    <row r="3" spans="1:4" ht="13.8" x14ac:dyDescent="0.25">
      <c r="A3" s="134"/>
      <c r="B3" s="34" t="s">
        <v>136</v>
      </c>
    </row>
    <row r="4" spans="1:4" x14ac:dyDescent="0.25">
      <c r="A4" s="3"/>
      <c r="B4" s="59" t="s">
        <v>137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58538</v>
      </c>
      <c r="C6" s="11">
        <v>63848</v>
      </c>
      <c r="D6" s="25">
        <f>+C6-B6</f>
        <v>5310</v>
      </c>
    </row>
    <row r="7" spans="1:4" x14ac:dyDescent="0.25">
      <c r="A7" s="10">
        <v>2</v>
      </c>
      <c r="B7" s="129">
        <v>58642</v>
      </c>
      <c r="C7" s="11">
        <v>55697</v>
      </c>
      <c r="D7" s="25">
        <f t="shared" ref="D7:D36" si="0">+C7-B7</f>
        <v>-2945</v>
      </c>
    </row>
    <row r="8" spans="1:4" x14ac:dyDescent="0.25">
      <c r="A8" s="10">
        <v>3</v>
      </c>
      <c r="B8" s="11">
        <v>58406</v>
      </c>
      <c r="C8" s="11">
        <v>59792</v>
      </c>
      <c r="D8" s="25">
        <f t="shared" si="0"/>
        <v>1386</v>
      </c>
    </row>
    <row r="9" spans="1:4" x14ac:dyDescent="0.25">
      <c r="A9" s="10">
        <v>4</v>
      </c>
      <c r="B9" s="11">
        <v>59692</v>
      </c>
      <c r="C9" s="11">
        <v>63944</v>
      </c>
      <c r="D9" s="25">
        <f t="shared" si="0"/>
        <v>4252</v>
      </c>
    </row>
    <row r="10" spans="1:4" x14ac:dyDescent="0.25">
      <c r="A10" s="10">
        <v>5</v>
      </c>
      <c r="B10" s="11">
        <v>46721</v>
      </c>
      <c r="C10" s="11">
        <v>47218</v>
      </c>
      <c r="D10" s="25">
        <f t="shared" si="0"/>
        <v>497</v>
      </c>
    </row>
    <row r="11" spans="1:4" x14ac:dyDescent="0.25">
      <c r="A11" s="10">
        <v>6</v>
      </c>
      <c r="B11" s="11">
        <v>54155</v>
      </c>
      <c r="C11" s="11">
        <v>54685</v>
      </c>
      <c r="D11" s="25">
        <f t="shared" si="0"/>
        <v>530</v>
      </c>
    </row>
    <row r="12" spans="1:4" x14ac:dyDescent="0.25">
      <c r="A12" s="10">
        <v>7</v>
      </c>
      <c r="B12" s="11">
        <v>64066</v>
      </c>
      <c r="C12" s="11">
        <v>62444</v>
      </c>
      <c r="D12" s="25">
        <f t="shared" si="0"/>
        <v>-1622</v>
      </c>
    </row>
    <row r="13" spans="1:4" x14ac:dyDescent="0.25">
      <c r="A13" s="10">
        <v>8</v>
      </c>
      <c r="B13" s="11">
        <v>58452</v>
      </c>
      <c r="C13" s="11">
        <v>62839</v>
      </c>
      <c r="D13" s="25">
        <f t="shared" si="0"/>
        <v>4387</v>
      </c>
    </row>
    <row r="14" spans="1:4" x14ac:dyDescent="0.25">
      <c r="A14" s="10">
        <v>9</v>
      </c>
      <c r="B14" s="11">
        <v>59525</v>
      </c>
      <c r="C14" s="11">
        <v>62898</v>
      </c>
      <c r="D14" s="25">
        <f t="shared" si="0"/>
        <v>3373</v>
      </c>
    </row>
    <row r="15" spans="1:4" x14ac:dyDescent="0.25">
      <c r="A15" s="10">
        <v>10</v>
      </c>
      <c r="B15" s="11">
        <v>58572</v>
      </c>
      <c r="C15" s="11">
        <v>62898</v>
      </c>
      <c r="D15" s="25">
        <f t="shared" si="0"/>
        <v>4326</v>
      </c>
    </row>
    <row r="16" spans="1:4" x14ac:dyDescent="0.25">
      <c r="A16" s="10">
        <v>11</v>
      </c>
      <c r="B16" s="11">
        <v>64462</v>
      </c>
      <c r="C16" s="11">
        <v>63297</v>
      </c>
      <c r="D16" s="25">
        <f t="shared" si="0"/>
        <v>-1165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641231</v>
      </c>
      <c r="C37" s="11">
        <f>SUM(C6:C36)</f>
        <v>659560</v>
      </c>
      <c r="D37" s="25">
        <f>SUM(D6:D36)</f>
        <v>18329</v>
      </c>
    </row>
    <row r="38" spans="1:4" x14ac:dyDescent="0.25">
      <c r="A38" s="26"/>
      <c r="C38" s="14"/>
      <c r="D38" s="345">
        <f>+summary!H5</f>
        <v>2.0699999999999998</v>
      </c>
    </row>
    <row r="39" spans="1:4" x14ac:dyDescent="0.25">
      <c r="D39" s="138">
        <f>+D38*D37</f>
        <v>37941.03</v>
      </c>
    </row>
    <row r="40" spans="1:4" x14ac:dyDescent="0.25">
      <c r="A40" s="57">
        <v>37134</v>
      </c>
      <c r="C40" s="15"/>
      <c r="D40" s="492">
        <v>14916.9</v>
      </c>
    </row>
    <row r="41" spans="1:4" x14ac:dyDescent="0.25">
      <c r="A41" s="57">
        <v>37145</v>
      </c>
      <c r="C41" s="48"/>
      <c r="D41" s="138">
        <f>+D40+D39</f>
        <v>52857.93</v>
      </c>
    </row>
    <row r="45" spans="1:4" x14ac:dyDescent="0.25">
      <c r="A45" s="32" t="s">
        <v>157</v>
      </c>
      <c r="B45" s="32"/>
      <c r="C45" s="32"/>
      <c r="D45" s="32"/>
    </row>
    <row r="46" spans="1:4" x14ac:dyDescent="0.25">
      <c r="A46" s="49">
        <f>+A40</f>
        <v>37134</v>
      </c>
      <c r="B46" s="32"/>
      <c r="C46" s="32"/>
      <c r="D46" s="477">
        <v>5234</v>
      </c>
    </row>
    <row r="47" spans="1:4" x14ac:dyDescent="0.25">
      <c r="A47" s="49">
        <f>+A41</f>
        <v>37145</v>
      </c>
      <c r="B47" s="32"/>
      <c r="C47" s="32"/>
      <c r="D47" s="377">
        <f>+D37</f>
        <v>18329</v>
      </c>
    </row>
    <row r="48" spans="1:4" x14ac:dyDescent="0.25">
      <c r="A48" s="32"/>
      <c r="B48" s="32"/>
      <c r="C48" s="32"/>
      <c r="D48" s="14">
        <f>+D47+D46</f>
        <v>23563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workbookViewId="0"/>
    <sheetView workbookViewId="1"/>
    <sheetView topLeftCell="A26" workbookViewId="2">
      <selection activeCell="D40" sqref="D40"/>
    </sheetView>
    <sheetView topLeftCell="A32" workbookViewId="3">
      <selection activeCell="C17" sqref="C17"/>
    </sheetView>
  </sheetViews>
  <sheetFormatPr defaultRowHeight="13.2" x14ac:dyDescent="0.25"/>
  <cols>
    <col min="9" max="9" width="9.33203125" bestFit="1" customWidth="1"/>
    <col min="13" max="13" width="12.33203125" bestFit="1" customWidth="1"/>
    <col min="15" max="15" width="12.33203125" bestFit="1" customWidth="1"/>
  </cols>
  <sheetData>
    <row r="3" spans="1:13" ht="13.8" x14ac:dyDescent="0.25">
      <c r="A3" s="134"/>
      <c r="B3" s="3" t="s">
        <v>138</v>
      </c>
      <c r="C3" s="87"/>
      <c r="D3" s="87"/>
      <c r="E3" s="87"/>
    </row>
    <row r="4" spans="1:13" x14ac:dyDescent="0.25">
      <c r="A4" s="3"/>
      <c r="B4" s="347" t="s">
        <v>139</v>
      </c>
      <c r="C4" s="87"/>
      <c r="D4" s="3"/>
      <c r="E4" s="87"/>
    </row>
    <row r="5" spans="1:13" x14ac:dyDescent="0.25">
      <c r="A5" s="5" t="s">
        <v>11</v>
      </c>
      <c r="B5" s="6" t="s">
        <v>20</v>
      </c>
      <c r="C5" s="6" t="s">
        <v>21</v>
      </c>
    </row>
    <row r="6" spans="1:13" x14ac:dyDescent="0.25">
      <c r="A6" s="10">
        <v>1</v>
      </c>
      <c r="B6" s="11">
        <v>-1376</v>
      </c>
      <c r="C6" s="11">
        <v>-2139</v>
      </c>
      <c r="D6" s="25">
        <f>+C6-B6</f>
        <v>-763</v>
      </c>
    </row>
    <row r="7" spans="1:13" x14ac:dyDescent="0.25">
      <c r="A7" s="10">
        <v>2</v>
      </c>
      <c r="B7" s="11">
        <v>-2054</v>
      </c>
      <c r="C7" s="11">
        <v>-2139</v>
      </c>
      <c r="D7" s="25">
        <f t="shared" ref="D7:D36" si="0">+C7-B7</f>
        <v>-85</v>
      </c>
    </row>
    <row r="8" spans="1:13" x14ac:dyDescent="0.25">
      <c r="A8" s="10">
        <v>3</v>
      </c>
      <c r="B8" s="11">
        <v>-664</v>
      </c>
      <c r="C8" s="11">
        <v>-2139</v>
      </c>
      <c r="D8" s="25">
        <f t="shared" si="0"/>
        <v>-1475</v>
      </c>
    </row>
    <row r="9" spans="1:13" x14ac:dyDescent="0.25">
      <c r="A9" s="10">
        <v>4</v>
      </c>
      <c r="B9" s="11">
        <v>-1983</v>
      </c>
      <c r="C9" s="11">
        <v>-2139</v>
      </c>
      <c r="D9" s="25">
        <f t="shared" si="0"/>
        <v>-156</v>
      </c>
    </row>
    <row r="10" spans="1:13" x14ac:dyDescent="0.25">
      <c r="A10" s="10">
        <v>5</v>
      </c>
      <c r="B10" s="11">
        <v>-1856</v>
      </c>
      <c r="C10" s="11">
        <v>-2139</v>
      </c>
      <c r="D10" s="25">
        <f t="shared" si="0"/>
        <v>-283</v>
      </c>
    </row>
    <row r="11" spans="1:13" x14ac:dyDescent="0.25">
      <c r="A11" s="10">
        <v>6</v>
      </c>
      <c r="B11" s="11">
        <v>-1043</v>
      </c>
      <c r="C11" s="11">
        <v>-2139</v>
      </c>
      <c r="D11" s="25">
        <f t="shared" si="0"/>
        <v>-1096</v>
      </c>
    </row>
    <row r="12" spans="1:13" x14ac:dyDescent="0.25">
      <c r="A12" s="10">
        <v>7</v>
      </c>
      <c r="B12" s="11"/>
      <c r="C12" s="11">
        <v>-438</v>
      </c>
      <c r="D12" s="25">
        <f t="shared" si="0"/>
        <v>-438</v>
      </c>
    </row>
    <row r="13" spans="1:13" x14ac:dyDescent="0.25">
      <c r="A13" s="10">
        <v>8</v>
      </c>
      <c r="B13" s="11"/>
      <c r="C13" s="11">
        <v>-438</v>
      </c>
      <c r="D13" s="25">
        <f t="shared" si="0"/>
        <v>-438</v>
      </c>
      <c r="H13" s="118"/>
      <c r="I13" s="34"/>
      <c r="J13" s="34"/>
      <c r="K13" s="189"/>
      <c r="L13" s="450" t="s">
        <v>197</v>
      </c>
      <c r="M13" s="189"/>
    </row>
    <row r="14" spans="1:13" x14ac:dyDescent="0.25">
      <c r="A14" s="10">
        <v>9</v>
      </c>
      <c r="B14" s="11"/>
      <c r="C14" s="11">
        <v>-438</v>
      </c>
      <c r="D14" s="25">
        <f t="shared" si="0"/>
        <v>-438</v>
      </c>
      <c r="H14" s="118" t="s">
        <v>40</v>
      </c>
      <c r="I14" s="451" t="s">
        <v>20</v>
      </c>
      <c r="J14" s="451" t="s">
        <v>21</v>
      </c>
      <c r="K14" s="452" t="s">
        <v>51</v>
      </c>
      <c r="L14" s="450" t="s">
        <v>16</v>
      </c>
      <c r="M14" s="189" t="s">
        <v>28</v>
      </c>
    </row>
    <row r="15" spans="1:13" x14ac:dyDescent="0.25">
      <c r="A15" s="10">
        <v>10</v>
      </c>
      <c r="B15" s="11"/>
      <c r="C15" s="11">
        <v>-438</v>
      </c>
      <c r="D15" s="25">
        <f t="shared" si="0"/>
        <v>-438</v>
      </c>
      <c r="H15" s="34"/>
      <c r="I15" s="34"/>
      <c r="J15" s="34"/>
      <c r="K15" s="34"/>
      <c r="L15" s="34"/>
      <c r="M15" s="34"/>
    </row>
    <row r="16" spans="1:13" x14ac:dyDescent="0.25">
      <c r="A16" s="10">
        <v>11</v>
      </c>
      <c r="B16" s="11"/>
      <c r="C16" s="11">
        <v>-438</v>
      </c>
      <c r="D16" s="25">
        <f t="shared" si="0"/>
        <v>-438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50">
        <v>8.2100000000000009</v>
      </c>
      <c r="M16" s="455">
        <f t="shared" ref="M16:M22" si="2">+L16*K16</f>
        <v>-148748.78000000003</v>
      </c>
    </row>
    <row r="17" spans="1:15" x14ac:dyDescent="0.25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50">
        <v>5.62</v>
      </c>
      <c r="M17" s="455">
        <f t="shared" si="2"/>
        <v>-91100.2</v>
      </c>
    </row>
    <row r="18" spans="1:15" x14ac:dyDescent="0.25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50">
        <v>4.9800000000000004</v>
      </c>
      <c r="M18" s="455">
        <f t="shared" si="2"/>
        <v>-118748.1</v>
      </c>
    </row>
    <row r="19" spans="1:15" x14ac:dyDescent="0.25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50">
        <v>4.87</v>
      </c>
      <c r="M19" s="455">
        <f t="shared" si="2"/>
        <v>63012.93</v>
      </c>
      <c r="O19" s="267"/>
    </row>
    <row r="20" spans="1:15" x14ac:dyDescent="0.25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50">
        <v>3.82</v>
      </c>
      <c r="M20" s="455">
        <f t="shared" si="2"/>
        <v>32531.119999999999</v>
      </c>
    </row>
    <row r="21" spans="1:15" x14ac:dyDescent="0.25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50">
        <v>3.2</v>
      </c>
      <c r="M21" s="455">
        <f t="shared" si="2"/>
        <v>-47644.800000000003</v>
      </c>
    </row>
    <row r="22" spans="1:15" x14ac:dyDescent="0.25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50">
        <v>2.77</v>
      </c>
      <c r="M22" s="456">
        <f t="shared" si="2"/>
        <v>-43139.98</v>
      </c>
    </row>
    <row r="23" spans="1:15" ht="13.8" thickBot="1" x14ac:dyDescent="0.3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53"/>
      <c r="M23" s="454">
        <f>SUM(M16:M22)</f>
        <v>-353837.81000000006</v>
      </c>
      <c r="O23" s="267"/>
    </row>
    <row r="24" spans="1:15" ht="13.8" thickTop="1" x14ac:dyDescent="0.25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5">
      <c r="A25" s="10">
        <v>20</v>
      </c>
      <c r="B25" s="11"/>
      <c r="C25" s="11"/>
      <c r="D25" s="25">
        <f t="shared" si="0"/>
        <v>0</v>
      </c>
    </row>
    <row r="26" spans="1:15" x14ac:dyDescent="0.25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5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5">
      <c r="A28" s="10">
        <v>23</v>
      </c>
      <c r="B28" s="11"/>
      <c r="C28" s="11"/>
      <c r="D28" s="25">
        <f t="shared" si="0"/>
        <v>0</v>
      </c>
    </row>
    <row r="29" spans="1:15" x14ac:dyDescent="0.25">
      <c r="A29" s="10">
        <v>24</v>
      </c>
      <c r="B29" s="11"/>
      <c r="C29" s="11"/>
      <c r="D29" s="25">
        <f t="shared" si="0"/>
        <v>0</v>
      </c>
    </row>
    <row r="30" spans="1:15" x14ac:dyDescent="0.25">
      <c r="A30" s="10">
        <v>25</v>
      </c>
      <c r="B30" s="11"/>
      <c r="C30" s="11"/>
      <c r="D30" s="25">
        <f t="shared" si="0"/>
        <v>0</v>
      </c>
    </row>
    <row r="31" spans="1:15" x14ac:dyDescent="0.25">
      <c r="A31" s="10">
        <v>26</v>
      </c>
      <c r="B31" s="11"/>
      <c r="C31" s="11"/>
      <c r="D31" s="25">
        <f t="shared" si="0"/>
        <v>0</v>
      </c>
    </row>
    <row r="32" spans="1:15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-8976</v>
      </c>
      <c r="C37" s="11">
        <f>SUM(C6:C36)</f>
        <v>-15024</v>
      </c>
      <c r="D37" s="25">
        <f>SUM(D6:D36)</f>
        <v>-6048</v>
      </c>
    </row>
    <row r="38" spans="1:4" x14ac:dyDescent="0.25">
      <c r="A38" s="26"/>
      <c r="C38" s="14"/>
      <c r="D38" s="345">
        <f>+summary!H4</f>
        <v>2.0299999999999998</v>
      </c>
    </row>
    <row r="39" spans="1:4" x14ac:dyDescent="0.25">
      <c r="D39" s="138">
        <f>+D38*D37</f>
        <v>-12277.439999999999</v>
      </c>
    </row>
    <row r="40" spans="1:4" x14ac:dyDescent="0.25">
      <c r="A40" s="57">
        <v>37134</v>
      </c>
      <c r="C40" s="15"/>
      <c r="D40" s="484">
        <v>-421481.58</v>
      </c>
    </row>
    <row r="41" spans="1:4" x14ac:dyDescent="0.25">
      <c r="A41" s="57">
        <v>37145</v>
      </c>
      <c r="C41" s="48"/>
      <c r="D41" s="138">
        <f>+D40+D39</f>
        <v>-433759.02</v>
      </c>
    </row>
    <row r="47" spans="1:4" x14ac:dyDescent="0.25">
      <c r="A47" s="32" t="s">
        <v>157</v>
      </c>
      <c r="B47" s="32"/>
      <c r="C47" s="32"/>
      <c r="D47" s="32"/>
    </row>
    <row r="48" spans="1:4" x14ac:dyDescent="0.25">
      <c r="A48" s="49">
        <f>+A40</f>
        <v>37134</v>
      </c>
      <c r="B48" s="32"/>
      <c r="C48" s="32"/>
      <c r="D48" s="477">
        <v>-77754</v>
      </c>
    </row>
    <row r="49" spans="1:4" x14ac:dyDescent="0.25">
      <c r="A49" s="49">
        <f>+A41</f>
        <v>37145</v>
      </c>
      <c r="B49" s="32"/>
      <c r="C49" s="32"/>
      <c r="D49" s="377">
        <f>+D37</f>
        <v>-6048</v>
      </c>
    </row>
    <row r="50" spans="1:4" x14ac:dyDescent="0.25">
      <c r="A50" s="32"/>
      <c r="B50" s="32"/>
      <c r="C50" s="32"/>
      <c r="D50" s="14">
        <f>+D49+D48</f>
        <v>-83802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/>
    <sheetView topLeftCell="A26" workbookViewId="1">
      <selection activeCell="A42" sqref="A42"/>
    </sheetView>
    <sheetView workbookViewId="2"/>
    <sheetView topLeftCell="A24" workbookViewId="3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144</v>
      </c>
      <c r="C3" s="87"/>
      <c r="D3" s="87"/>
    </row>
    <row r="4" spans="1:4" x14ac:dyDescent="0.25">
      <c r="A4" s="3"/>
      <c r="B4" s="347" t="s">
        <v>141</v>
      </c>
      <c r="C4" s="87"/>
      <c r="D4" s="3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-98383</v>
      </c>
      <c r="C6" s="11">
        <v>-75000</v>
      </c>
      <c r="D6" s="25">
        <f>+C6-B6</f>
        <v>23383</v>
      </c>
    </row>
    <row r="7" spans="1:4" x14ac:dyDescent="0.25">
      <c r="A7" s="10">
        <v>2</v>
      </c>
      <c r="B7" s="11">
        <v>-98232</v>
      </c>
      <c r="C7" s="11">
        <v>-95000</v>
      </c>
      <c r="D7" s="25">
        <f t="shared" ref="D7:D36" si="0">+C7-B7</f>
        <v>3232</v>
      </c>
    </row>
    <row r="8" spans="1:4" x14ac:dyDescent="0.25">
      <c r="A8" s="10">
        <v>3</v>
      </c>
      <c r="B8" s="11">
        <v>-47152</v>
      </c>
      <c r="C8" s="11">
        <v>-38250</v>
      </c>
      <c r="D8" s="25">
        <f t="shared" si="0"/>
        <v>8902</v>
      </c>
    </row>
    <row r="9" spans="1:4" x14ac:dyDescent="0.25">
      <c r="A9" s="10">
        <v>4</v>
      </c>
      <c r="B9" s="108">
        <v>-5</v>
      </c>
      <c r="C9" s="11">
        <v>-5000</v>
      </c>
      <c r="D9" s="25">
        <f t="shared" si="0"/>
        <v>-4995</v>
      </c>
    </row>
    <row r="10" spans="1:4" x14ac:dyDescent="0.25">
      <c r="A10" s="10">
        <v>5</v>
      </c>
      <c r="B10" s="108">
        <v>-31</v>
      </c>
      <c r="C10" s="11"/>
      <c r="D10" s="25">
        <f t="shared" si="0"/>
        <v>31</v>
      </c>
    </row>
    <row r="11" spans="1:4" x14ac:dyDescent="0.25">
      <c r="A11" s="10">
        <v>6</v>
      </c>
      <c r="B11" s="108">
        <v>0</v>
      </c>
      <c r="C11" s="11"/>
      <c r="D11" s="25">
        <f t="shared" si="0"/>
        <v>0</v>
      </c>
    </row>
    <row r="12" spans="1:4" x14ac:dyDescent="0.25">
      <c r="A12" s="10">
        <v>7</v>
      </c>
      <c r="B12" s="11">
        <v>-3</v>
      </c>
      <c r="C12" s="11"/>
      <c r="D12" s="25">
        <f t="shared" si="0"/>
        <v>3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-243806</v>
      </c>
      <c r="C37" s="11">
        <f>SUM(C6:C36)</f>
        <v>-213250</v>
      </c>
      <c r="D37" s="25">
        <f>SUM(D6:D36)</f>
        <v>30556</v>
      </c>
    </row>
    <row r="38" spans="1:4" x14ac:dyDescent="0.25">
      <c r="A38" s="26"/>
      <c r="C38" s="14"/>
      <c r="D38" s="345">
        <f>+summary!H4</f>
        <v>2.0299999999999998</v>
      </c>
    </row>
    <row r="39" spans="1:4" x14ac:dyDescent="0.25">
      <c r="D39" s="138">
        <f>+D38*D37</f>
        <v>62028.679999999993</v>
      </c>
    </row>
    <row r="40" spans="1:4" x14ac:dyDescent="0.25">
      <c r="A40" s="57">
        <v>37134</v>
      </c>
      <c r="C40" s="15"/>
      <c r="D40" s="359">
        <v>-173605</v>
      </c>
    </row>
    <row r="41" spans="1:4" x14ac:dyDescent="0.25">
      <c r="A41" s="57">
        <v>37145</v>
      </c>
      <c r="C41" s="48"/>
      <c r="D41" s="138">
        <f>+D40+D39</f>
        <v>-111576.32000000001</v>
      </c>
    </row>
    <row r="42" spans="1:4" x14ac:dyDescent="0.25">
      <c r="D42" s="24"/>
    </row>
    <row r="45" spans="1:4" x14ac:dyDescent="0.25">
      <c r="A45" s="32" t="s">
        <v>157</v>
      </c>
      <c r="B45" s="32"/>
      <c r="C45" s="32"/>
      <c r="D45" s="32"/>
    </row>
    <row r="46" spans="1:4" x14ac:dyDescent="0.25">
      <c r="A46" s="49">
        <f>+A40</f>
        <v>37134</v>
      </c>
      <c r="B46" s="32"/>
      <c r="C46" s="32"/>
      <c r="D46" s="212">
        <v>-86184</v>
      </c>
    </row>
    <row r="47" spans="1:4" x14ac:dyDescent="0.25">
      <c r="A47" s="49">
        <f>+A41</f>
        <v>37145</v>
      </c>
      <c r="B47" s="32"/>
      <c r="C47" s="32"/>
      <c r="D47" s="377">
        <f>+D37</f>
        <v>30556</v>
      </c>
    </row>
    <row r="48" spans="1:4" x14ac:dyDescent="0.25">
      <c r="A48" s="32"/>
      <c r="B48" s="32"/>
      <c r="C48" s="32"/>
      <c r="D48" s="14">
        <f>+D47+D46</f>
        <v>-55628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topLeftCell="A4" workbookViewId="3">
      <selection activeCell="B9" sqref="B9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140</v>
      </c>
      <c r="B3" s="88"/>
      <c r="C3" s="265"/>
      <c r="D3" s="88"/>
    </row>
    <row r="4" spans="1:13" x14ac:dyDescent="0.25">
      <c r="A4" s="87"/>
      <c r="B4" s="261" t="s">
        <v>20</v>
      </c>
      <c r="C4" s="261" t="s">
        <v>21</v>
      </c>
      <c r="D4" s="262" t="s">
        <v>51</v>
      </c>
    </row>
    <row r="5" spans="1:13" x14ac:dyDescent="0.25">
      <c r="A5" s="87">
        <v>56659</v>
      </c>
      <c r="B5" s="342">
        <v>-11978</v>
      </c>
      <c r="C5" s="90">
        <v>-1386</v>
      </c>
      <c r="D5" s="90">
        <f>+C5-B5</f>
        <v>10592</v>
      </c>
      <c r="E5" s="285"/>
      <c r="F5" s="283"/>
    </row>
    <row r="6" spans="1:13" x14ac:dyDescent="0.25">
      <c r="A6" s="87">
        <v>500046</v>
      </c>
      <c r="B6" s="90">
        <v>-259</v>
      </c>
      <c r="C6" s="90"/>
      <c r="D6" s="90">
        <f t="shared" ref="D6:D11" si="0">+C6-B6</f>
        <v>259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85"/>
      <c r="F7" s="283"/>
      <c r="L7" t="s">
        <v>26</v>
      </c>
      <c r="M7">
        <v>7.6</v>
      </c>
    </row>
    <row r="8" spans="1:13" x14ac:dyDescent="0.25">
      <c r="A8" s="87">
        <v>500134</v>
      </c>
      <c r="B8" s="92">
        <v>-25849</v>
      </c>
      <c r="C8" s="90"/>
      <c r="D8" s="90">
        <f t="shared" si="0"/>
        <v>25849</v>
      </c>
      <c r="E8" s="285"/>
      <c r="F8" s="283"/>
    </row>
    <row r="9" spans="1:13" x14ac:dyDescent="0.25">
      <c r="A9" s="87">
        <v>500528</v>
      </c>
      <c r="B9" s="92"/>
      <c r="C9" s="90"/>
      <c r="D9" s="90">
        <f t="shared" si="0"/>
        <v>0</v>
      </c>
      <c r="E9" s="285"/>
      <c r="F9" s="283"/>
    </row>
    <row r="10" spans="1:13" x14ac:dyDescent="0.25">
      <c r="A10" s="87">
        <v>500529</v>
      </c>
      <c r="B10" s="90"/>
      <c r="C10" s="319"/>
      <c r="D10" s="90">
        <f t="shared" si="0"/>
        <v>0</v>
      </c>
      <c r="E10" s="285"/>
      <c r="F10" s="283"/>
    </row>
    <row r="11" spans="1:13" x14ac:dyDescent="0.25">
      <c r="A11" s="87">
        <v>500619</v>
      </c>
      <c r="B11" s="319"/>
      <c r="C11" s="90"/>
      <c r="D11" s="354">
        <f t="shared" si="0"/>
        <v>0</v>
      </c>
      <c r="E11" s="285"/>
      <c r="F11" s="283"/>
    </row>
    <row r="12" spans="1:13" x14ac:dyDescent="0.25">
      <c r="A12" s="87"/>
      <c r="B12" s="88"/>
      <c r="C12" s="88"/>
      <c r="D12" s="88">
        <f>SUM(D5:D11)</f>
        <v>36700</v>
      </c>
      <c r="E12" s="285"/>
      <c r="F12" s="283"/>
    </row>
    <row r="13" spans="1:13" x14ac:dyDescent="0.25">
      <c r="A13" s="87" t="s">
        <v>84</v>
      </c>
      <c r="B13" s="88"/>
      <c r="C13" s="88"/>
      <c r="D13" s="95">
        <f>+summary!H4</f>
        <v>2.0299999999999998</v>
      </c>
      <c r="E13" s="287"/>
      <c r="F13" s="283"/>
    </row>
    <row r="14" spans="1:13" x14ac:dyDescent="0.25">
      <c r="A14" s="87"/>
      <c r="B14" s="88"/>
      <c r="C14" s="88"/>
      <c r="D14" s="96">
        <f>+D13*D12</f>
        <v>74501</v>
      </c>
      <c r="E14" s="209"/>
      <c r="F14" s="284"/>
    </row>
    <row r="15" spans="1:13" x14ac:dyDescent="0.25">
      <c r="A15" s="87"/>
      <c r="B15" s="88"/>
      <c r="C15" s="88"/>
      <c r="D15" s="96"/>
      <c r="E15" s="209"/>
      <c r="F15" s="74"/>
    </row>
    <row r="16" spans="1:13" x14ac:dyDescent="0.25">
      <c r="A16" s="99">
        <v>37134</v>
      </c>
      <c r="B16" s="88"/>
      <c r="C16" s="88"/>
      <c r="D16" s="439">
        <v>-757792.37</v>
      </c>
      <c r="E16" s="209"/>
      <c r="F16" s="66"/>
    </row>
    <row r="17" spans="1:7" x14ac:dyDescent="0.25">
      <c r="A17" s="87"/>
      <c r="B17" s="88"/>
      <c r="C17" s="88"/>
      <c r="D17" s="322"/>
      <c r="E17" s="209"/>
      <c r="F17" s="66"/>
    </row>
    <row r="18" spans="1:7" ht="13.8" thickBot="1" x14ac:dyDescent="0.3">
      <c r="A18" s="99">
        <v>37145</v>
      </c>
      <c r="B18" s="88"/>
      <c r="C18" s="88"/>
      <c r="D18" s="334">
        <f>+D16+D14</f>
        <v>-683291.37</v>
      </c>
      <c r="E18" s="209"/>
      <c r="F18" s="66"/>
    </row>
    <row r="19" spans="1:7" ht="13.8" thickTop="1" x14ac:dyDescent="0.25">
      <c r="E19" s="288"/>
    </row>
    <row r="21" spans="1:7" x14ac:dyDescent="0.25">
      <c r="A21" s="32" t="s">
        <v>157</v>
      </c>
      <c r="B21" s="32"/>
      <c r="C21" s="32"/>
      <c r="D21" s="32"/>
    </row>
    <row r="22" spans="1:7" x14ac:dyDescent="0.25">
      <c r="A22" s="49">
        <f>+A16</f>
        <v>37134</v>
      </c>
      <c r="B22" s="32"/>
      <c r="C22" s="32"/>
      <c r="D22" s="212">
        <v>-152176</v>
      </c>
    </row>
    <row r="23" spans="1:7" x14ac:dyDescent="0.25">
      <c r="A23" s="49">
        <f>+A18</f>
        <v>37145</v>
      </c>
      <c r="B23" s="32"/>
      <c r="C23" s="32"/>
      <c r="D23" s="377">
        <f>+D12</f>
        <v>36700</v>
      </c>
    </row>
    <row r="24" spans="1:7" x14ac:dyDescent="0.25">
      <c r="A24" s="32"/>
      <c r="B24" s="32"/>
      <c r="C24" s="32"/>
      <c r="D24" s="14">
        <f>+D23+D22</f>
        <v>-115476</v>
      </c>
    </row>
    <row r="25" spans="1:7" x14ac:dyDescent="0.25">
      <c r="A25" s="139"/>
      <c r="B25" s="119"/>
      <c r="C25" s="140"/>
      <c r="D25" s="14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workbookViewId="2"/>
    <sheetView topLeftCell="A27" workbookViewId="3">
      <selection activeCell="B38" sqref="B38"/>
    </sheetView>
  </sheetViews>
  <sheetFormatPr defaultRowHeight="13.2" x14ac:dyDescent="0.25"/>
  <sheetData>
    <row r="3" spans="1:4" ht="13.8" x14ac:dyDescent="0.25">
      <c r="A3" s="134"/>
      <c r="B3" s="34" t="s">
        <v>147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-33502</v>
      </c>
      <c r="C6" s="11">
        <v>-30000</v>
      </c>
      <c r="D6" s="25">
        <f>+C6-B6</f>
        <v>3502</v>
      </c>
    </row>
    <row r="7" spans="1:4" x14ac:dyDescent="0.25">
      <c r="A7" s="10">
        <v>2</v>
      </c>
      <c r="B7" s="11">
        <v>-33521</v>
      </c>
      <c r="C7" s="11">
        <v>-30000</v>
      </c>
      <c r="D7" s="25">
        <f t="shared" ref="D7:D36" si="0">+C7-B7</f>
        <v>3521</v>
      </c>
    </row>
    <row r="8" spans="1:4" x14ac:dyDescent="0.25">
      <c r="A8" s="10">
        <v>3</v>
      </c>
      <c r="B8" s="11">
        <v>-33529</v>
      </c>
      <c r="C8" s="11">
        <v>-30000</v>
      </c>
      <c r="D8" s="25">
        <f t="shared" si="0"/>
        <v>3529</v>
      </c>
    </row>
    <row r="9" spans="1:4" x14ac:dyDescent="0.25">
      <c r="A9" s="10">
        <v>4</v>
      </c>
      <c r="B9" s="11">
        <v>-33511</v>
      </c>
      <c r="C9" s="11">
        <v>-30000</v>
      </c>
      <c r="D9" s="25">
        <f t="shared" si="0"/>
        <v>3511</v>
      </c>
    </row>
    <row r="10" spans="1:4" x14ac:dyDescent="0.25">
      <c r="A10" s="10">
        <v>5</v>
      </c>
      <c r="B10" s="11">
        <v>-11993</v>
      </c>
      <c r="C10" s="11">
        <v>-15000</v>
      </c>
      <c r="D10" s="25">
        <f t="shared" si="0"/>
        <v>-3007</v>
      </c>
    </row>
    <row r="11" spans="1:4" x14ac:dyDescent="0.25">
      <c r="A11" s="10">
        <v>6</v>
      </c>
      <c r="B11" s="11">
        <v>-38711</v>
      </c>
      <c r="C11" s="11">
        <v>-31073</v>
      </c>
      <c r="D11" s="25">
        <f t="shared" si="0"/>
        <v>7638</v>
      </c>
    </row>
    <row r="12" spans="1:4" x14ac:dyDescent="0.25">
      <c r="A12" s="10">
        <v>7</v>
      </c>
      <c r="B12" s="11">
        <v>-28581</v>
      </c>
      <c r="C12" s="11">
        <v>-25328</v>
      </c>
      <c r="D12" s="25">
        <f t="shared" si="0"/>
        <v>3253</v>
      </c>
    </row>
    <row r="13" spans="1:4" x14ac:dyDescent="0.25">
      <c r="A13" s="10">
        <v>8</v>
      </c>
      <c r="B13" s="11">
        <v>-22482</v>
      </c>
      <c r="C13" s="11">
        <v>-16116</v>
      </c>
      <c r="D13" s="25">
        <f t="shared" si="0"/>
        <v>6366</v>
      </c>
    </row>
    <row r="14" spans="1:4" x14ac:dyDescent="0.25">
      <c r="A14" s="10">
        <v>9</v>
      </c>
      <c r="B14" s="11">
        <v>-24134</v>
      </c>
      <c r="C14" s="11">
        <v>-16116</v>
      </c>
      <c r="D14" s="25">
        <f t="shared" si="0"/>
        <v>8018</v>
      </c>
    </row>
    <row r="15" spans="1:4" x14ac:dyDescent="0.25">
      <c r="A15" s="10">
        <v>10</v>
      </c>
      <c r="B15" s="11">
        <v>-9103</v>
      </c>
      <c r="C15" s="11">
        <v>-16116</v>
      </c>
      <c r="D15" s="25">
        <f t="shared" si="0"/>
        <v>-7013</v>
      </c>
    </row>
    <row r="16" spans="1:4" x14ac:dyDescent="0.25">
      <c r="A16" s="10">
        <v>11</v>
      </c>
      <c r="B16" s="11">
        <v>-32225</v>
      </c>
      <c r="C16" s="11">
        <v>-45000</v>
      </c>
      <c r="D16" s="25">
        <f t="shared" si="0"/>
        <v>-12775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-301292</v>
      </c>
      <c r="C37" s="11">
        <f>SUM(C6:C36)</f>
        <v>-284749</v>
      </c>
      <c r="D37" s="25">
        <f>SUM(D6:D36)</f>
        <v>16543</v>
      </c>
    </row>
    <row r="38" spans="1:4" x14ac:dyDescent="0.25">
      <c r="A38" s="26"/>
      <c r="C38" s="14"/>
      <c r="D38" s="360"/>
    </row>
    <row r="39" spans="1:4" x14ac:dyDescent="0.25">
      <c r="D39" s="138"/>
    </row>
    <row r="40" spans="1:4" x14ac:dyDescent="0.25">
      <c r="A40" s="57">
        <v>37134</v>
      </c>
      <c r="C40" s="15"/>
      <c r="D40" s="468">
        <v>48988</v>
      </c>
    </row>
    <row r="41" spans="1:4" x14ac:dyDescent="0.25">
      <c r="A41" s="57">
        <v>37145</v>
      </c>
      <c r="C41" s="48"/>
      <c r="D41" s="25">
        <f>+D40+D37</f>
        <v>65531</v>
      </c>
    </row>
    <row r="44" spans="1:4" x14ac:dyDescent="0.25">
      <c r="A44" s="32" t="s">
        <v>158</v>
      </c>
      <c r="B44" s="32"/>
      <c r="C44" s="32"/>
      <c r="D44" s="47"/>
    </row>
    <row r="45" spans="1:4" x14ac:dyDescent="0.25">
      <c r="A45" s="49">
        <f>+A40</f>
        <v>37134</v>
      </c>
      <c r="B45" s="32"/>
      <c r="C45" s="32"/>
      <c r="D45" s="469">
        <v>265496.81</v>
      </c>
    </row>
    <row r="46" spans="1:4" x14ac:dyDescent="0.25">
      <c r="A46" s="49">
        <f>+A41</f>
        <v>37145</v>
      </c>
      <c r="B46" s="32"/>
      <c r="C46" s="32"/>
      <c r="D46" s="406">
        <f>+D37*'by type_area'!J4</f>
        <v>33582.289999999994</v>
      </c>
    </row>
    <row r="47" spans="1:4" x14ac:dyDescent="0.25">
      <c r="A47" s="32"/>
      <c r="B47" s="32"/>
      <c r="C47" s="32"/>
      <c r="D47" s="202">
        <f>+D46+D45</f>
        <v>299079.09999999998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9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topLeftCell="A9" workbookViewId="3">
      <selection activeCell="C18" sqref="C18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5">
      <c r="A7" s="10">
        <v>1</v>
      </c>
      <c r="B7" s="11">
        <v>138938</v>
      </c>
      <c r="C7" s="11">
        <v>139223</v>
      </c>
      <c r="D7" s="25">
        <f>+C7-B7</f>
        <v>285</v>
      </c>
    </row>
    <row r="8" spans="1:4" x14ac:dyDescent="0.25">
      <c r="A8" s="10">
        <v>2</v>
      </c>
      <c r="B8" s="11">
        <v>155682</v>
      </c>
      <c r="C8" s="11">
        <v>154223</v>
      </c>
      <c r="D8" s="25">
        <f>+C8-B8</f>
        <v>-1459</v>
      </c>
    </row>
    <row r="9" spans="1:4" x14ac:dyDescent="0.25">
      <c r="A9" s="10">
        <v>3</v>
      </c>
      <c r="B9" s="11">
        <v>147918</v>
      </c>
      <c r="C9" s="11">
        <v>148033</v>
      </c>
      <c r="D9" s="25">
        <f t="shared" ref="D9:D37" si="0">+C9-B9</f>
        <v>115</v>
      </c>
    </row>
    <row r="10" spans="1:4" x14ac:dyDescent="0.25">
      <c r="A10" s="10">
        <v>4</v>
      </c>
      <c r="B10" s="11">
        <v>149888</v>
      </c>
      <c r="C10" s="11">
        <v>152957</v>
      </c>
      <c r="D10" s="25">
        <f t="shared" si="0"/>
        <v>3069</v>
      </c>
    </row>
    <row r="11" spans="1:4" x14ac:dyDescent="0.25">
      <c r="A11" s="10">
        <v>5</v>
      </c>
      <c r="B11" s="129">
        <v>124579</v>
      </c>
      <c r="C11" s="11">
        <v>124223</v>
      </c>
      <c r="D11" s="25">
        <f t="shared" si="0"/>
        <v>-356</v>
      </c>
    </row>
    <row r="12" spans="1:4" x14ac:dyDescent="0.25">
      <c r="A12" s="10">
        <v>6</v>
      </c>
      <c r="B12" s="11">
        <v>124012</v>
      </c>
      <c r="C12" s="11">
        <v>124223</v>
      </c>
      <c r="D12" s="25">
        <f t="shared" si="0"/>
        <v>211</v>
      </c>
    </row>
    <row r="13" spans="1:4" x14ac:dyDescent="0.25">
      <c r="A13" s="10">
        <v>7</v>
      </c>
      <c r="B13" s="129">
        <v>151138</v>
      </c>
      <c r="C13" s="11">
        <v>157505</v>
      </c>
      <c r="D13" s="25">
        <f t="shared" si="0"/>
        <v>6367</v>
      </c>
    </row>
    <row r="14" spans="1:4" x14ac:dyDescent="0.25">
      <c r="A14" s="10">
        <v>8</v>
      </c>
      <c r="B14" s="11">
        <v>131748</v>
      </c>
      <c r="C14" s="11">
        <v>131556</v>
      </c>
      <c r="D14" s="25">
        <f t="shared" si="0"/>
        <v>-192</v>
      </c>
    </row>
    <row r="15" spans="1:4" x14ac:dyDescent="0.25">
      <c r="A15" s="10">
        <v>9</v>
      </c>
      <c r="B15" s="11">
        <v>130001</v>
      </c>
      <c r="C15" s="11">
        <v>129381</v>
      </c>
      <c r="D15" s="25">
        <f t="shared" si="0"/>
        <v>-620</v>
      </c>
    </row>
    <row r="16" spans="1:4" x14ac:dyDescent="0.25">
      <c r="A16" s="10">
        <v>10</v>
      </c>
      <c r="B16" s="11">
        <v>134993</v>
      </c>
      <c r="C16" s="11">
        <v>134783</v>
      </c>
      <c r="D16" s="25">
        <f t="shared" si="0"/>
        <v>-210</v>
      </c>
    </row>
    <row r="17" spans="1:4" x14ac:dyDescent="0.25">
      <c r="A17" s="10">
        <v>11</v>
      </c>
      <c r="B17" s="11">
        <v>113234</v>
      </c>
      <c r="C17" s="11">
        <v>109304</v>
      </c>
      <c r="D17" s="25">
        <f t="shared" si="0"/>
        <v>-3930</v>
      </c>
    </row>
    <row r="18" spans="1:4" x14ac:dyDescent="0.25">
      <c r="A18" s="10">
        <v>12</v>
      </c>
      <c r="B18" s="11"/>
      <c r="C18" s="11"/>
      <c r="D18" s="25">
        <f t="shared" si="0"/>
        <v>0</v>
      </c>
    </row>
    <row r="19" spans="1:4" x14ac:dyDescent="0.25">
      <c r="A19" s="10">
        <v>13</v>
      </c>
      <c r="B19" s="11"/>
      <c r="C19" s="11"/>
      <c r="D19" s="25">
        <f t="shared" si="0"/>
        <v>0</v>
      </c>
    </row>
    <row r="20" spans="1:4" x14ac:dyDescent="0.25">
      <c r="A20" s="10">
        <v>14</v>
      </c>
      <c r="B20" s="11"/>
      <c r="C20" s="11"/>
      <c r="D20" s="25">
        <f t="shared" si="0"/>
        <v>0</v>
      </c>
    </row>
    <row r="21" spans="1:4" x14ac:dyDescent="0.25">
      <c r="A21" s="10">
        <v>15</v>
      </c>
      <c r="B21" s="11"/>
      <c r="C21" s="11"/>
      <c r="D21" s="25">
        <f t="shared" si="0"/>
        <v>0</v>
      </c>
    </row>
    <row r="22" spans="1:4" x14ac:dyDescent="0.25">
      <c r="A22" s="10">
        <v>16</v>
      </c>
      <c r="B22" s="11"/>
      <c r="C22" s="11"/>
      <c r="D22" s="25">
        <f t="shared" si="0"/>
        <v>0</v>
      </c>
    </row>
    <row r="23" spans="1:4" x14ac:dyDescent="0.25">
      <c r="A23" s="10">
        <v>17</v>
      </c>
      <c r="B23" s="11"/>
      <c r="C23" s="11"/>
      <c r="D23" s="25">
        <f t="shared" si="0"/>
        <v>0</v>
      </c>
    </row>
    <row r="24" spans="1:4" x14ac:dyDescent="0.25">
      <c r="A24" s="10">
        <v>18</v>
      </c>
      <c r="B24" s="11"/>
      <c r="C24" s="11"/>
      <c r="D24" s="25">
        <f t="shared" si="0"/>
        <v>0</v>
      </c>
    </row>
    <row r="25" spans="1:4" x14ac:dyDescent="0.25">
      <c r="A25" s="10">
        <v>19</v>
      </c>
      <c r="B25" s="11"/>
      <c r="C25" s="11"/>
      <c r="D25" s="25">
        <f t="shared" si="0"/>
        <v>0</v>
      </c>
    </row>
    <row r="26" spans="1:4" x14ac:dyDescent="0.25">
      <c r="A26" s="10">
        <v>20</v>
      </c>
      <c r="B26" s="11"/>
      <c r="C26" s="11"/>
      <c r="D26" s="25">
        <f t="shared" si="0"/>
        <v>0</v>
      </c>
    </row>
    <row r="27" spans="1:4" x14ac:dyDescent="0.25">
      <c r="A27" s="10">
        <v>21</v>
      </c>
      <c r="B27" s="11"/>
      <c r="C27" s="11"/>
      <c r="D27" s="25">
        <f t="shared" si="0"/>
        <v>0</v>
      </c>
    </row>
    <row r="28" spans="1:4" x14ac:dyDescent="0.25">
      <c r="A28" s="10">
        <v>22</v>
      </c>
      <c r="B28" s="11"/>
      <c r="C28" s="11"/>
      <c r="D28" s="25">
        <f t="shared" si="0"/>
        <v>0</v>
      </c>
    </row>
    <row r="29" spans="1:4" x14ac:dyDescent="0.25">
      <c r="A29" s="10">
        <v>23</v>
      </c>
      <c r="B29" s="11"/>
      <c r="C29" s="11"/>
      <c r="D29" s="25">
        <f t="shared" si="0"/>
        <v>0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4" x14ac:dyDescent="0.25">
      <c r="A33" s="10">
        <v>27</v>
      </c>
      <c r="B33" s="11"/>
      <c r="C33" s="11"/>
      <c r="D33" s="25">
        <f t="shared" si="0"/>
        <v>0</v>
      </c>
    </row>
    <row r="34" spans="1:4" x14ac:dyDescent="0.25">
      <c r="A34" s="10">
        <v>28</v>
      </c>
      <c r="B34" s="11"/>
      <c r="C34" s="11"/>
      <c r="D34" s="25">
        <f t="shared" si="0"/>
        <v>0</v>
      </c>
    </row>
    <row r="35" spans="1:4" x14ac:dyDescent="0.25">
      <c r="A35" s="10">
        <v>29</v>
      </c>
      <c r="B35" s="11"/>
      <c r="C35" s="11"/>
      <c r="D35" s="25">
        <f t="shared" si="0"/>
        <v>0</v>
      </c>
    </row>
    <row r="36" spans="1:4" x14ac:dyDescent="0.25">
      <c r="A36" s="10">
        <v>30</v>
      </c>
      <c r="B36" s="11"/>
      <c r="C36" s="11"/>
      <c r="D36" s="25">
        <f t="shared" si="0"/>
        <v>0</v>
      </c>
    </row>
    <row r="37" spans="1:4" x14ac:dyDescent="0.25">
      <c r="A37" s="10">
        <v>31</v>
      </c>
      <c r="B37" s="11"/>
      <c r="C37" s="11"/>
      <c r="D37" s="25">
        <f t="shared" si="0"/>
        <v>0</v>
      </c>
    </row>
    <row r="38" spans="1:4" x14ac:dyDescent="0.25">
      <c r="A38" s="10"/>
      <c r="B38" s="11">
        <f>SUM(B7:B37)</f>
        <v>1502131</v>
      </c>
      <c r="C38" s="11">
        <f>SUM(C7:C37)</f>
        <v>1505411</v>
      </c>
      <c r="D38" s="11">
        <f>SUM(D7:D37)</f>
        <v>3280</v>
      </c>
    </row>
    <row r="39" spans="1:4" x14ac:dyDescent="0.25">
      <c r="A39" s="26"/>
      <c r="C39" s="14"/>
      <c r="D39" s="106">
        <f>+summary!H3</f>
        <v>1.94</v>
      </c>
    </row>
    <row r="40" spans="1:4" x14ac:dyDescent="0.25">
      <c r="D40" s="138">
        <f>+D39*D38</f>
        <v>6363.2</v>
      </c>
    </row>
    <row r="41" spans="1:4" x14ac:dyDescent="0.25">
      <c r="A41" s="57">
        <v>37134</v>
      </c>
      <c r="C41" s="15"/>
      <c r="D41" s="369">
        <v>0</v>
      </c>
    </row>
    <row r="42" spans="1:4" x14ac:dyDescent="0.25">
      <c r="A42" s="57">
        <v>37145</v>
      </c>
      <c r="D42" s="337">
        <f>+D41+D40</f>
        <v>6363.2</v>
      </c>
    </row>
    <row r="46" spans="1:4" x14ac:dyDescent="0.25">
      <c r="A46" s="32" t="s">
        <v>157</v>
      </c>
      <c r="B46" s="32"/>
      <c r="C46" s="32"/>
      <c r="D46" s="32"/>
    </row>
    <row r="47" spans="1:4" x14ac:dyDescent="0.25">
      <c r="A47" s="49">
        <f>+A41</f>
        <v>37134</v>
      </c>
      <c r="B47" s="32"/>
      <c r="C47" s="32"/>
      <c r="D47" s="212">
        <v>0</v>
      </c>
    </row>
    <row r="48" spans="1:4" x14ac:dyDescent="0.25">
      <c r="A48" s="49">
        <f>+A42</f>
        <v>37145</v>
      </c>
      <c r="B48" s="32"/>
      <c r="C48" s="32"/>
      <c r="D48" s="377">
        <f>+D38</f>
        <v>3280</v>
      </c>
    </row>
    <row r="49" spans="1:4" x14ac:dyDescent="0.25">
      <c r="A49" s="32"/>
      <c r="B49" s="32"/>
      <c r="C49" s="32"/>
      <c r="D49" s="14">
        <f>+D48+D47</f>
        <v>3280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3" workbookViewId="2">
      <selection activeCell="B19" sqref="B19"/>
    </sheetView>
    <sheetView topLeftCell="A24" workbookViewId="3">
      <selection activeCell="B39" sqref="B39"/>
    </sheetView>
  </sheetViews>
  <sheetFormatPr defaultRowHeight="13.2" x14ac:dyDescent="0.25"/>
  <cols>
    <col min="2" max="2" width="9.5546875" bestFit="1" customWidth="1"/>
    <col min="3" max="3" width="10.44140625" customWidth="1"/>
    <col min="4" max="4" width="9" customWidth="1"/>
    <col min="5" max="5" width="9.33203125" customWidth="1"/>
    <col min="6" max="6" width="8.33203125" bestFit="1" customWidth="1"/>
  </cols>
  <sheetData>
    <row r="2" spans="1:12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5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12" x14ac:dyDescent="0.25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12" x14ac:dyDescent="0.25">
      <c r="A5" s="41">
        <v>1</v>
      </c>
      <c r="B5" s="11">
        <v>-18474</v>
      </c>
      <c r="C5" s="11">
        <v>-500</v>
      </c>
      <c r="D5" s="11"/>
      <c r="E5" s="11">
        <v>-17302</v>
      </c>
      <c r="F5" s="11">
        <f>+C5-B5+E5-D5</f>
        <v>672</v>
      </c>
      <c r="G5" s="41"/>
      <c r="H5" s="11"/>
      <c r="I5" s="11"/>
      <c r="J5" s="11"/>
      <c r="K5" s="11"/>
      <c r="L5" s="11"/>
    </row>
    <row r="6" spans="1:12" x14ac:dyDescent="0.25">
      <c r="A6" s="41">
        <v>2</v>
      </c>
      <c r="B6" s="11">
        <v>-17798</v>
      </c>
      <c r="C6" s="11">
        <v>-500</v>
      </c>
      <c r="D6" s="11"/>
      <c r="E6" s="11">
        <v>-17302</v>
      </c>
      <c r="F6" s="11">
        <f t="shared" ref="F6:F35" si="0">+C6-B6+E6-D6</f>
        <v>-4</v>
      </c>
      <c r="G6" s="41"/>
      <c r="H6" s="11"/>
      <c r="I6" s="11"/>
      <c r="J6" s="11"/>
      <c r="K6" s="11"/>
      <c r="L6" s="11"/>
    </row>
    <row r="7" spans="1:12" x14ac:dyDescent="0.25">
      <c r="A7" s="41">
        <v>3</v>
      </c>
      <c r="B7" s="11">
        <v>-17797</v>
      </c>
      <c r="C7" s="11">
        <v>-500</v>
      </c>
      <c r="D7" s="11"/>
      <c r="E7" s="11">
        <v>-17302</v>
      </c>
      <c r="F7" s="11">
        <f t="shared" si="0"/>
        <v>-5</v>
      </c>
      <c r="G7" s="41"/>
      <c r="H7" s="11"/>
      <c r="I7" s="11"/>
      <c r="J7" s="11"/>
      <c r="K7" s="11"/>
      <c r="L7" s="11"/>
    </row>
    <row r="8" spans="1:12" x14ac:dyDescent="0.25">
      <c r="A8" s="41">
        <v>4</v>
      </c>
      <c r="B8" s="11">
        <v>-18510</v>
      </c>
      <c r="C8" s="11">
        <v>-500</v>
      </c>
      <c r="D8" s="11"/>
      <c r="E8" s="11">
        <v>-17302</v>
      </c>
      <c r="F8" s="11">
        <f t="shared" si="0"/>
        <v>708</v>
      </c>
      <c r="G8" s="41"/>
      <c r="H8" s="11"/>
      <c r="I8" s="11"/>
      <c r="J8" s="11"/>
      <c r="K8" s="11"/>
      <c r="L8" s="11"/>
    </row>
    <row r="9" spans="1:12" x14ac:dyDescent="0.25">
      <c r="A9" s="41">
        <v>5</v>
      </c>
      <c r="B9" s="11">
        <v>-28067</v>
      </c>
      <c r="C9" s="11"/>
      <c r="D9" s="11">
        <v>-19</v>
      </c>
      <c r="E9" s="11">
        <v>-27302</v>
      </c>
      <c r="F9" s="11">
        <f t="shared" si="0"/>
        <v>784</v>
      </c>
      <c r="G9" s="41"/>
      <c r="H9" s="11"/>
      <c r="I9" s="11"/>
      <c r="J9" s="11"/>
      <c r="K9" s="11"/>
      <c r="L9" s="11"/>
    </row>
    <row r="10" spans="1:12" x14ac:dyDescent="0.25">
      <c r="A10" s="41">
        <v>6</v>
      </c>
      <c r="B10" s="11">
        <v>-32603</v>
      </c>
      <c r="C10" s="11">
        <v>-6315</v>
      </c>
      <c r="D10" s="11">
        <v>-4</v>
      </c>
      <c r="E10" s="11">
        <v>-25302</v>
      </c>
      <c r="F10" s="11">
        <f t="shared" si="0"/>
        <v>990</v>
      </c>
      <c r="G10" s="41"/>
      <c r="H10" s="11"/>
      <c r="I10" s="11"/>
      <c r="J10" s="11"/>
      <c r="K10" s="11"/>
      <c r="L10" s="11"/>
    </row>
    <row r="11" spans="1:12" x14ac:dyDescent="0.25">
      <c r="A11" s="41">
        <v>7</v>
      </c>
      <c r="B11" s="129">
        <v>-28184</v>
      </c>
      <c r="C11" s="11"/>
      <c r="D11" s="129">
        <v>-2</v>
      </c>
      <c r="E11" s="11">
        <v>-27904</v>
      </c>
      <c r="F11" s="11">
        <f t="shared" si="0"/>
        <v>282</v>
      </c>
      <c r="G11" s="41"/>
      <c r="H11" s="11"/>
      <c r="I11" s="11"/>
      <c r="J11" s="11"/>
      <c r="K11" s="11"/>
      <c r="L11" s="11"/>
    </row>
    <row r="12" spans="1:12" x14ac:dyDescent="0.25">
      <c r="A12" s="41">
        <v>8</v>
      </c>
      <c r="B12" s="11">
        <v>-40209</v>
      </c>
      <c r="C12" s="11">
        <v>-14724</v>
      </c>
      <c r="D12" s="11"/>
      <c r="E12" s="11">
        <v>-24700</v>
      </c>
      <c r="F12" s="11">
        <f t="shared" si="0"/>
        <v>785</v>
      </c>
      <c r="G12" s="41"/>
      <c r="H12" s="11"/>
      <c r="I12" s="11"/>
      <c r="J12" s="11"/>
      <c r="K12" s="11"/>
      <c r="L12" s="11"/>
    </row>
    <row r="13" spans="1:12" x14ac:dyDescent="0.25">
      <c r="A13" s="41">
        <v>9</v>
      </c>
      <c r="B13" s="129">
        <v>-40733</v>
      </c>
      <c r="C13" s="11">
        <v>-14724</v>
      </c>
      <c r="D13" s="129"/>
      <c r="E13" s="11">
        <v>-24700</v>
      </c>
      <c r="F13" s="11">
        <f t="shared" si="0"/>
        <v>1309</v>
      </c>
      <c r="G13" s="41"/>
      <c r="H13" s="11"/>
      <c r="I13" s="11"/>
      <c r="J13" s="11"/>
      <c r="K13" s="11"/>
      <c r="L13" s="11"/>
    </row>
    <row r="14" spans="1:12" x14ac:dyDescent="0.25">
      <c r="A14" s="41">
        <v>10</v>
      </c>
      <c r="B14" s="11">
        <v>-40617</v>
      </c>
      <c r="C14" s="11">
        <v>-14724</v>
      </c>
      <c r="D14" s="129">
        <v>-9</v>
      </c>
      <c r="E14" s="11">
        <v>-24700</v>
      </c>
      <c r="F14" s="11">
        <f t="shared" si="0"/>
        <v>1202</v>
      </c>
      <c r="G14" s="41"/>
      <c r="H14" s="11"/>
      <c r="I14" s="11"/>
      <c r="J14" s="11"/>
      <c r="K14" s="11"/>
      <c r="L14" s="11"/>
    </row>
    <row r="15" spans="1:12" x14ac:dyDescent="0.25">
      <c r="A15" s="41">
        <v>11</v>
      </c>
      <c r="B15" s="11">
        <v>-23227</v>
      </c>
      <c r="C15" s="11"/>
      <c r="D15" s="11"/>
      <c r="E15" s="11">
        <v>-24200</v>
      </c>
      <c r="F15" s="11">
        <f t="shared" si="0"/>
        <v>-973</v>
      </c>
      <c r="G15" s="41"/>
      <c r="H15" s="11"/>
      <c r="I15" s="11"/>
      <c r="J15" s="11"/>
      <c r="K15" s="11"/>
      <c r="L15" s="11"/>
    </row>
    <row r="16" spans="1:12" x14ac:dyDescent="0.25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11"/>
      <c r="I16" s="11"/>
      <c r="J16" s="11"/>
      <c r="K16" s="11"/>
      <c r="L16" s="11"/>
    </row>
    <row r="17" spans="1:12" x14ac:dyDescent="0.25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11"/>
      <c r="I17" s="11"/>
      <c r="J17" s="11"/>
      <c r="K17" s="11"/>
      <c r="L17" s="11"/>
    </row>
    <row r="18" spans="1:12" x14ac:dyDescent="0.25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11"/>
      <c r="I18" s="11"/>
      <c r="J18" s="11"/>
      <c r="K18" s="11"/>
      <c r="L18" s="11"/>
    </row>
    <row r="19" spans="1:12" x14ac:dyDescent="0.25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11"/>
      <c r="I19" s="11"/>
      <c r="J19" s="11"/>
      <c r="K19" s="11"/>
      <c r="L19" s="11"/>
    </row>
    <row r="20" spans="1:12" x14ac:dyDescent="0.25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11"/>
      <c r="I20" s="11"/>
      <c r="J20" s="11"/>
      <c r="K20" s="11"/>
      <c r="L20" s="11"/>
    </row>
    <row r="21" spans="1:12" x14ac:dyDescent="0.25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5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5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5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5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5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5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5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5">
      <c r="A36" s="41"/>
      <c r="B36" s="11">
        <f>SUM(B5:B35)</f>
        <v>-306219</v>
      </c>
      <c r="C36" s="44">
        <f>SUM(C5:C35)</f>
        <v>-52487</v>
      </c>
      <c r="D36" s="43">
        <f>SUM(D5:D35)</f>
        <v>-34</v>
      </c>
      <c r="E36" s="44">
        <f>SUM(E5:E35)</f>
        <v>-248016</v>
      </c>
      <c r="F36" s="11">
        <f>SUM(F5:F35)</f>
        <v>5750</v>
      </c>
      <c r="G36" s="41"/>
      <c r="H36" s="11"/>
      <c r="I36" s="44"/>
      <c r="J36" s="43"/>
      <c r="K36" s="44"/>
      <c r="L36" s="11"/>
    </row>
    <row r="37" spans="1:12" x14ac:dyDescent="0.25">
      <c r="A37" s="45"/>
      <c r="B37" s="32"/>
      <c r="C37" s="24">
        <f>+B36-C36</f>
        <v>-253732</v>
      </c>
      <c r="D37" s="24"/>
      <c r="E37" s="24">
        <f>+D36-E36</f>
        <v>247982</v>
      </c>
      <c r="F37" s="25"/>
      <c r="G37" s="45"/>
      <c r="H37" s="32"/>
      <c r="I37" s="24"/>
      <c r="J37" s="24"/>
      <c r="K37" s="24"/>
      <c r="L37" s="25"/>
    </row>
    <row r="38" spans="1:12" x14ac:dyDescent="0.25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5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5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5">
      <c r="A41" s="32"/>
      <c r="B41" s="57">
        <v>37134</v>
      </c>
      <c r="C41" s="14"/>
      <c r="D41" s="50"/>
      <c r="E41" s="50"/>
      <c r="F41" s="479">
        <v>73003</v>
      </c>
      <c r="G41" s="32"/>
      <c r="H41" s="49"/>
      <c r="I41" s="14"/>
      <c r="J41" s="50"/>
      <c r="K41" s="50"/>
      <c r="L41" s="24"/>
    </row>
    <row r="42" spans="1:12" x14ac:dyDescent="0.25">
      <c r="A42" s="32"/>
      <c r="B42" s="57">
        <v>37145</v>
      </c>
      <c r="C42" s="14"/>
      <c r="D42" s="50"/>
      <c r="E42" s="50"/>
      <c r="F42" s="51">
        <f>+F41+F36</f>
        <v>78753</v>
      </c>
      <c r="G42" s="32"/>
      <c r="H42" s="49"/>
      <c r="I42" s="14"/>
      <c r="J42" s="50"/>
      <c r="K42" s="50"/>
      <c r="L42" s="51"/>
    </row>
    <row r="43" spans="1:12" x14ac:dyDescent="0.25">
      <c r="B43" s="56"/>
      <c r="F43" s="52"/>
      <c r="L43" s="52"/>
    </row>
    <row r="46" spans="1:12" x14ac:dyDescent="0.25">
      <c r="A46" s="32" t="s">
        <v>158</v>
      </c>
      <c r="B46" s="32"/>
      <c r="C46" s="32"/>
      <c r="D46" s="47"/>
    </row>
    <row r="47" spans="1:12" x14ac:dyDescent="0.25">
      <c r="A47" s="49">
        <f>+B41</f>
        <v>37134</v>
      </c>
      <c r="B47" s="32"/>
      <c r="C47" s="32"/>
      <c r="D47" s="480">
        <v>71590.87</v>
      </c>
    </row>
    <row r="48" spans="1:12" x14ac:dyDescent="0.25">
      <c r="A48" s="49">
        <f>+B42</f>
        <v>37145</v>
      </c>
      <c r="B48" s="32"/>
      <c r="C48" s="32"/>
      <c r="D48" s="406">
        <f>+F36*'by type_area'!J4</f>
        <v>11672.499999999998</v>
      </c>
    </row>
    <row r="49" spans="1:4" x14ac:dyDescent="0.25">
      <c r="A49" s="32"/>
      <c r="B49" s="32"/>
      <c r="C49" s="32"/>
      <c r="D49" s="202">
        <f>+D48+D47</f>
        <v>83263.37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4" workbookViewId="2">
      <selection activeCell="A41" sqref="A41"/>
    </sheetView>
    <sheetView topLeftCell="A24" workbookViewId="3">
      <selection activeCell="C39" sqref="C39"/>
    </sheetView>
  </sheetViews>
  <sheetFormatPr defaultRowHeight="13.2" x14ac:dyDescent="0.25"/>
  <cols>
    <col min="1" max="1" width="7.8867187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11</v>
      </c>
      <c r="B3" s="6" t="s">
        <v>20</v>
      </c>
      <c r="C3" s="6" t="s">
        <v>21</v>
      </c>
    </row>
    <row r="4" spans="1:4" x14ac:dyDescent="0.25">
      <c r="A4" s="10">
        <v>1</v>
      </c>
      <c r="B4" s="11">
        <v>-147113</v>
      </c>
      <c r="C4" s="11">
        <v>-146583</v>
      </c>
      <c r="D4" s="25">
        <f>+C4-B4</f>
        <v>530</v>
      </c>
    </row>
    <row r="5" spans="1:4" x14ac:dyDescent="0.25">
      <c r="A5" s="10">
        <v>2</v>
      </c>
      <c r="B5" s="129">
        <v>-126845</v>
      </c>
      <c r="C5" s="11">
        <v>-126583</v>
      </c>
      <c r="D5" s="25">
        <f t="shared" ref="D5:D34" si="0">+C5-B5</f>
        <v>262</v>
      </c>
    </row>
    <row r="6" spans="1:4" x14ac:dyDescent="0.25">
      <c r="A6" s="10">
        <v>3</v>
      </c>
      <c r="B6" s="129">
        <v>-160795</v>
      </c>
      <c r="C6" s="11">
        <v>-160124</v>
      </c>
      <c r="D6" s="25">
        <f t="shared" si="0"/>
        <v>671</v>
      </c>
    </row>
    <row r="7" spans="1:4" x14ac:dyDescent="0.25">
      <c r="A7" s="10">
        <v>4</v>
      </c>
      <c r="B7" s="129">
        <v>-187604</v>
      </c>
      <c r="C7" s="11">
        <v>-182390</v>
      </c>
      <c r="D7" s="25">
        <f t="shared" si="0"/>
        <v>5214</v>
      </c>
    </row>
    <row r="8" spans="1:4" x14ac:dyDescent="0.25">
      <c r="A8" s="10">
        <v>5</v>
      </c>
      <c r="B8" s="129">
        <v>-172148</v>
      </c>
      <c r="C8" s="11">
        <v>-171442</v>
      </c>
      <c r="D8" s="25">
        <f t="shared" si="0"/>
        <v>706</v>
      </c>
    </row>
    <row r="9" spans="1:4" x14ac:dyDescent="0.25">
      <c r="A9" s="10">
        <v>6</v>
      </c>
      <c r="B9" s="129">
        <v>-167318</v>
      </c>
      <c r="C9" s="11">
        <v>-166625</v>
      </c>
      <c r="D9" s="25">
        <f t="shared" si="0"/>
        <v>693</v>
      </c>
    </row>
    <row r="10" spans="1:4" x14ac:dyDescent="0.25">
      <c r="A10" s="10">
        <v>7</v>
      </c>
      <c r="B10" s="129">
        <v>-146770</v>
      </c>
      <c r="C10" s="11">
        <v>-148471</v>
      </c>
      <c r="D10" s="25">
        <f t="shared" si="0"/>
        <v>-1701</v>
      </c>
    </row>
    <row r="11" spans="1:4" x14ac:dyDescent="0.25">
      <c r="A11" s="10">
        <v>8</v>
      </c>
      <c r="B11" s="11">
        <v>-167550</v>
      </c>
      <c r="C11" s="11">
        <v>-166769</v>
      </c>
      <c r="D11" s="25">
        <f t="shared" si="0"/>
        <v>781</v>
      </c>
    </row>
    <row r="12" spans="1:4" x14ac:dyDescent="0.25">
      <c r="A12" s="10">
        <v>9</v>
      </c>
      <c r="B12" s="11">
        <v>-166261</v>
      </c>
      <c r="C12" s="11">
        <v>-164629</v>
      </c>
      <c r="D12" s="25">
        <f t="shared" si="0"/>
        <v>1632</v>
      </c>
    </row>
    <row r="13" spans="1:4" x14ac:dyDescent="0.25">
      <c r="A13" s="10">
        <v>10</v>
      </c>
      <c r="B13" s="11">
        <v>-158639</v>
      </c>
      <c r="C13" s="11">
        <v>-157063</v>
      </c>
      <c r="D13" s="25">
        <f t="shared" si="0"/>
        <v>1576</v>
      </c>
    </row>
    <row r="14" spans="1:4" x14ac:dyDescent="0.25">
      <c r="A14" s="10">
        <v>11</v>
      </c>
      <c r="B14" s="11">
        <v>-154740</v>
      </c>
      <c r="C14" s="11">
        <v>-154588</v>
      </c>
      <c r="D14" s="25">
        <f t="shared" si="0"/>
        <v>152</v>
      </c>
    </row>
    <row r="15" spans="1:4" x14ac:dyDescent="0.25">
      <c r="A15" s="10">
        <v>12</v>
      </c>
      <c r="B15" s="11">
        <v>-175579</v>
      </c>
      <c r="C15" s="11">
        <v>-174787</v>
      </c>
      <c r="D15" s="25">
        <f t="shared" si="0"/>
        <v>792</v>
      </c>
    </row>
    <row r="16" spans="1:4" x14ac:dyDescent="0.25">
      <c r="A16" s="10">
        <v>13</v>
      </c>
      <c r="B16" s="11"/>
      <c r="C16" s="11"/>
      <c r="D16" s="25">
        <f t="shared" si="0"/>
        <v>0</v>
      </c>
    </row>
    <row r="17" spans="1:4" x14ac:dyDescent="0.25">
      <c r="A17" s="10">
        <v>14</v>
      </c>
      <c r="B17" s="11"/>
      <c r="C17" s="11"/>
      <c r="D17" s="25">
        <f t="shared" si="0"/>
        <v>0</v>
      </c>
    </row>
    <row r="18" spans="1:4" x14ac:dyDescent="0.25">
      <c r="A18" s="10">
        <v>15</v>
      </c>
      <c r="B18" s="11"/>
      <c r="C18" s="11"/>
      <c r="D18" s="25">
        <f t="shared" si="0"/>
        <v>0</v>
      </c>
    </row>
    <row r="19" spans="1:4" x14ac:dyDescent="0.25">
      <c r="A19" s="10">
        <v>16</v>
      </c>
      <c r="B19" s="11"/>
      <c r="C19" s="11"/>
      <c r="D19" s="25">
        <f t="shared" si="0"/>
        <v>0</v>
      </c>
    </row>
    <row r="20" spans="1:4" x14ac:dyDescent="0.25">
      <c r="A20" s="10">
        <v>17</v>
      </c>
      <c r="B20" s="11"/>
      <c r="C20" s="11"/>
      <c r="D20" s="25">
        <f t="shared" si="0"/>
        <v>0</v>
      </c>
    </row>
    <row r="21" spans="1:4" x14ac:dyDescent="0.25">
      <c r="A21" s="10">
        <v>18</v>
      </c>
      <c r="B21" s="11"/>
      <c r="C21" s="11"/>
      <c r="D21" s="25">
        <f t="shared" si="0"/>
        <v>0</v>
      </c>
    </row>
    <row r="22" spans="1:4" x14ac:dyDescent="0.25">
      <c r="A22" s="10">
        <v>19</v>
      </c>
      <c r="B22" s="11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08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08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08"/>
      <c r="C32" s="11"/>
      <c r="D32" s="25">
        <f t="shared" si="0"/>
        <v>0</v>
      </c>
    </row>
    <row r="33" spans="1:30" x14ac:dyDescent="0.25">
      <c r="A33" s="10">
        <v>30</v>
      </c>
      <c r="B33" s="108"/>
      <c r="C33" s="11"/>
      <c r="D33" s="25">
        <f t="shared" si="0"/>
        <v>0</v>
      </c>
    </row>
    <row r="34" spans="1:30" x14ac:dyDescent="0.25">
      <c r="A34" s="10">
        <v>31</v>
      </c>
      <c r="B34" s="11"/>
      <c r="C34" s="11"/>
      <c r="D34" s="25">
        <f t="shared" si="0"/>
        <v>0</v>
      </c>
    </row>
    <row r="35" spans="1:30" x14ac:dyDescent="0.25">
      <c r="A35" s="10"/>
      <c r="B35" s="11">
        <f>SUM(B4:B34)</f>
        <v>-1931362</v>
      </c>
      <c r="C35" s="11">
        <f>SUM(C4:C34)</f>
        <v>-1920054</v>
      </c>
      <c r="D35" s="11">
        <f>SUM(D4:D34)</f>
        <v>11308</v>
      </c>
    </row>
    <row r="36" spans="1:30" x14ac:dyDescent="0.25">
      <c r="A36" s="26"/>
      <c r="C36" s="25"/>
      <c r="D36" s="2"/>
    </row>
    <row r="37" spans="1:30" x14ac:dyDescent="0.25">
      <c r="A37" s="12"/>
      <c r="D37" s="24"/>
    </row>
    <row r="38" spans="1:30" x14ac:dyDescent="0.25">
      <c r="A38" s="249">
        <v>37134</v>
      </c>
      <c r="D38" s="247">
        <v>43542</v>
      </c>
    </row>
    <row r="39" spans="1:30" x14ac:dyDescent="0.25">
      <c r="A39" s="12"/>
      <c r="D39" s="24"/>
    </row>
    <row r="40" spans="1:30" x14ac:dyDescent="0.25">
      <c r="A40" s="249">
        <v>37146</v>
      </c>
      <c r="D40" s="24">
        <f>+D38+D35</f>
        <v>54850</v>
      </c>
    </row>
    <row r="43" spans="1:30" ht="15.6" x14ac:dyDescent="0.3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A44" s="32" t="s">
        <v>158</v>
      </c>
      <c r="B44" s="32"/>
      <c r="C44" s="32"/>
      <c r="D44" s="47"/>
      <c r="K44"/>
    </row>
    <row r="45" spans="1:30" x14ac:dyDescent="0.25">
      <c r="A45" s="49">
        <f>+A38</f>
        <v>37134</v>
      </c>
      <c r="B45" s="32"/>
      <c r="C45" s="32"/>
      <c r="D45" s="437">
        <v>-104445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A46" s="49">
        <f>+A40</f>
        <v>37146</v>
      </c>
      <c r="B46" s="32"/>
      <c r="C46" s="32"/>
      <c r="D46" s="406">
        <f>+D35*'by type_area'!J4</f>
        <v>22955.239999999998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A47" s="32"/>
      <c r="B47" s="32"/>
      <c r="C47" s="32"/>
      <c r="D47" s="202">
        <f>+D46+D45</f>
        <v>-81489.760000000009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278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4" workbookViewId="2">
      <selection activeCell="C38" sqref="C38"/>
    </sheetView>
    <sheetView topLeftCell="A26" workbookViewId="3">
      <selection activeCell="C38" sqref="C38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5">
      <c r="A4" s="10">
        <v>1</v>
      </c>
      <c r="B4" s="11">
        <v>-623008</v>
      </c>
      <c r="C4" s="11">
        <v>-616826</v>
      </c>
      <c r="D4" s="11">
        <v>-25138</v>
      </c>
      <c r="E4" s="11">
        <v>-25000</v>
      </c>
      <c r="F4" s="25">
        <f>+E4+C4-D4-B4</f>
        <v>6320</v>
      </c>
      <c r="H4" s="10"/>
      <c r="I4" s="11"/>
    </row>
    <row r="5" spans="1:11" x14ac:dyDescent="0.25">
      <c r="A5" s="10">
        <v>2</v>
      </c>
      <c r="B5" s="11">
        <v>-610523</v>
      </c>
      <c r="C5" s="11">
        <v>-585078</v>
      </c>
      <c r="D5" s="11">
        <v>-25001</v>
      </c>
      <c r="E5" s="11">
        <v>-25000</v>
      </c>
      <c r="F5" s="25">
        <f t="shared" ref="F5:F34" si="0">+C5-B5+E5-D5</f>
        <v>25446</v>
      </c>
      <c r="H5" s="10"/>
      <c r="I5" s="11"/>
    </row>
    <row r="6" spans="1:11" x14ac:dyDescent="0.25">
      <c r="A6" s="10">
        <v>3</v>
      </c>
      <c r="B6" s="11">
        <v>-663655</v>
      </c>
      <c r="C6" s="11">
        <v>-658037</v>
      </c>
      <c r="D6" s="11">
        <v>-25919</v>
      </c>
      <c r="E6" s="11">
        <v>-25000</v>
      </c>
      <c r="F6" s="25">
        <f t="shared" si="0"/>
        <v>6537</v>
      </c>
      <c r="H6" s="10"/>
      <c r="I6" s="11"/>
    </row>
    <row r="7" spans="1:11" x14ac:dyDescent="0.25">
      <c r="A7" s="10">
        <v>4</v>
      </c>
      <c r="B7" s="11">
        <v>-684927</v>
      </c>
      <c r="C7" s="11">
        <v>-709416</v>
      </c>
      <c r="D7" s="11">
        <v>-23707</v>
      </c>
      <c r="E7" s="11">
        <v>-25000</v>
      </c>
      <c r="F7" s="25">
        <f t="shared" si="0"/>
        <v>-25782</v>
      </c>
      <c r="H7" s="10"/>
      <c r="I7" s="11"/>
      <c r="K7" s="25"/>
    </row>
    <row r="8" spans="1:11" x14ac:dyDescent="0.25">
      <c r="A8" s="10">
        <v>5</v>
      </c>
      <c r="B8" s="129">
        <v>-709597</v>
      </c>
      <c r="C8" s="11">
        <v>-718815</v>
      </c>
      <c r="D8" s="11">
        <v>-25000</v>
      </c>
      <c r="E8" s="11">
        <v>-25000</v>
      </c>
      <c r="F8" s="25">
        <f t="shared" si="0"/>
        <v>-9218</v>
      </c>
      <c r="H8" s="10"/>
      <c r="I8" s="11"/>
    </row>
    <row r="9" spans="1:11" x14ac:dyDescent="0.25">
      <c r="A9" s="10">
        <v>6</v>
      </c>
      <c r="B9" s="11">
        <v>-713428</v>
      </c>
      <c r="C9" s="11">
        <v>-714110</v>
      </c>
      <c r="D9" s="11">
        <v>-25002</v>
      </c>
      <c r="E9" s="11">
        <v>-25000</v>
      </c>
      <c r="F9" s="25">
        <f t="shared" si="0"/>
        <v>-680</v>
      </c>
      <c r="H9" s="10"/>
      <c r="I9" s="11"/>
    </row>
    <row r="10" spans="1:11" x14ac:dyDescent="0.25">
      <c r="A10" s="10">
        <v>7</v>
      </c>
      <c r="B10" s="129">
        <v>-720273</v>
      </c>
      <c r="C10" s="11">
        <v>-719066</v>
      </c>
      <c r="D10" s="129">
        <v>-25488</v>
      </c>
      <c r="E10" s="11">
        <v>-25000</v>
      </c>
      <c r="F10" s="25">
        <f t="shared" si="0"/>
        <v>1695</v>
      </c>
      <c r="H10" s="10"/>
      <c r="I10" s="11"/>
    </row>
    <row r="11" spans="1:11" x14ac:dyDescent="0.25">
      <c r="A11" s="10">
        <v>8</v>
      </c>
      <c r="B11" s="11">
        <v>-709442</v>
      </c>
      <c r="C11" s="11">
        <v>-697388</v>
      </c>
      <c r="D11" s="11">
        <v>-24057</v>
      </c>
      <c r="E11" s="11">
        <v>-25000</v>
      </c>
      <c r="F11" s="25">
        <f t="shared" si="0"/>
        <v>11111</v>
      </c>
      <c r="H11" s="10"/>
      <c r="I11" s="11"/>
    </row>
    <row r="12" spans="1:11" x14ac:dyDescent="0.25">
      <c r="A12" s="10">
        <v>9</v>
      </c>
      <c r="B12" s="11">
        <v>-702534</v>
      </c>
      <c r="C12" s="11">
        <v>-702433</v>
      </c>
      <c r="D12" s="11">
        <v>-24999</v>
      </c>
      <c r="E12" s="11">
        <v>-25000</v>
      </c>
      <c r="F12" s="25">
        <f t="shared" si="0"/>
        <v>100</v>
      </c>
      <c r="H12" s="10"/>
      <c r="I12" s="11"/>
    </row>
    <row r="13" spans="1:11" x14ac:dyDescent="0.25">
      <c r="A13" s="10">
        <v>10</v>
      </c>
      <c r="B13" s="11">
        <v>-673048</v>
      </c>
      <c r="C13" s="11">
        <v>-701948</v>
      </c>
      <c r="D13" s="129">
        <v>-43196</v>
      </c>
      <c r="E13" s="11">
        <v>-25000</v>
      </c>
      <c r="F13" s="25">
        <f t="shared" si="0"/>
        <v>-10704</v>
      </c>
      <c r="H13" s="10"/>
      <c r="I13" s="11"/>
    </row>
    <row r="14" spans="1:11" x14ac:dyDescent="0.25">
      <c r="A14" s="10">
        <v>11</v>
      </c>
      <c r="B14" s="11">
        <v>-717759</v>
      </c>
      <c r="C14" s="11">
        <v>-710462</v>
      </c>
      <c r="D14" s="11">
        <v>-25501</v>
      </c>
      <c r="E14" s="11">
        <v>-25000</v>
      </c>
      <c r="F14" s="25">
        <f t="shared" si="0"/>
        <v>7798</v>
      </c>
      <c r="H14" s="10"/>
      <c r="I14" s="11"/>
    </row>
    <row r="15" spans="1:11" x14ac:dyDescent="0.25">
      <c r="A15" s="10">
        <v>12</v>
      </c>
      <c r="B15" s="11">
        <v>-695728</v>
      </c>
      <c r="C15" s="11">
        <v>-695888</v>
      </c>
      <c r="D15" s="11">
        <v>-62</v>
      </c>
      <c r="E15" s="11"/>
      <c r="F15" s="25">
        <f t="shared" si="0"/>
        <v>-98</v>
      </c>
      <c r="H15" s="10"/>
      <c r="I15" s="11"/>
    </row>
    <row r="16" spans="1:11" x14ac:dyDescent="0.25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5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5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5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5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5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5">
      <c r="A22" s="10">
        <v>19</v>
      </c>
      <c r="B22" s="11"/>
      <c r="C22" s="11"/>
      <c r="D22" s="11"/>
      <c r="E22" s="11"/>
      <c r="F22" s="25">
        <f t="shared" si="0"/>
        <v>0</v>
      </c>
      <c r="H22" s="10"/>
      <c r="I22" s="11"/>
    </row>
    <row r="23" spans="1:11" x14ac:dyDescent="0.25">
      <c r="A23" s="10">
        <v>20</v>
      </c>
      <c r="B23" s="11"/>
      <c r="C23" s="11"/>
      <c r="D23" s="11"/>
      <c r="E23" s="11"/>
      <c r="F23" s="25">
        <f t="shared" si="0"/>
        <v>0</v>
      </c>
      <c r="H23" s="10"/>
      <c r="I23" s="11"/>
    </row>
    <row r="24" spans="1:11" x14ac:dyDescent="0.25">
      <c r="A24" s="10">
        <v>21</v>
      </c>
      <c r="B24" s="11"/>
      <c r="C24" s="11"/>
      <c r="D24" s="108"/>
      <c r="E24" s="11"/>
      <c r="F24" s="25">
        <f t="shared" si="0"/>
        <v>0</v>
      </c>
      <c r="H24" s="10"/>
      <c r="I24" s="11"/>
      <c r="K24" s="25"/>
    </row>
    <row r="25" spans="1:11" x14ac:dyDescent="0.25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5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5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5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5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5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-8223922</v>
      </c>
      <c r="C35" s="11">
        <f>SUM(C4:C34)</f>
        <v>-8229467</v>
      </c>
      <c r="D35" s="11">
        <f>SUM(D4:D34)</f>
        <v>-293070</v>
      </c>
      <c r="E35" s="11">
        <f>SUM(E4:E34)</f>
        <v>-275000</v>
      </c>
      <c r="F35" s="11">
        <f>SUM(F4:F34)</f>
        <v>12525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37134</v>
      </c>
      <c r="F38" s="474">
        <v>151133</v>
      </c>
    </row>
    <row r="39" spans="1:45" x14ac:dyDescent="0.25">
      <c r="A39" s="2"/>
      <c r="F39" s="24"/>
    </row>
    <row r="40" spans="1:45" x14ac:dyDescent="0.25">
      <c r="A40" s="57">
        <v>37146</v>
      </c>
      <c r="F40" s="51">
        <f>+F38+F35</f>
        <v>163658</v>
      </c>
    </row>
    <row r="42" spans="1:45" x14ac:dyDescent="0.25">
      <c r="AF42" s="307"/>
      <c r="AG42" s="307"/>
      <c r="AH42" s="307"/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</row>
    <row r="43" spans="1:45" ht="15.6" x14ac:dyDescent="0.3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8"/>
      <c r="AG43" s="307"/>
      <c r="AH43" s="307"/>
      <c r="AI43" s="309"/>
      <c r="AJ43" s="308"/>
      <c r="AK43" s="307"/>
      <c r="AL43" s="307"/>
      <c r="AM43" s="309"/>
      <c r="AN43" s="308"/>
      <c r="AO43" s="307"/>
      <c r="AP43" s="307"/>
      <c r="AQ43" s="307"/>
      <c r="AR43" s="307"/>
      <c r="AS43" s="307"/>
    </row>
    <row r="44" spans="1:45" x14ac:dyDescent="0.25">
      <c r="A44" s="32" t="s">
        <v>158</v>
      </c>
      <c r="B44" s="32"/>
      <c r="C44" s="32"/>
      <c r="D44" s="47"/>
      <c r="K44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</row>
    <row r="45" spans="1:45" x14ac:dyDescent="0.25">
      <c r="A45" s="49">
        <f>+A38</f>
        <v>37134</v>
      </c>
      <c r="B45" s="32"/>
      <c r="C45" s="32"/>
      <c r="D45" s="437">
        <v>465120</v>
      </c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10"/>
      <c r="AG45" s="310"/>
      <c r="AH45" s="307"/>
      <c r="AI45" s="311"/>
      <c r="AJ45" s="310"/>
      <c r="AK45" s="310"/>
      <c r="AL45" s="307"/>
      <c r="AM45" s="311"/>
      <c r="AN45" s="310"/>
      <c r="AO45" s="310"/>
      <c r="AP45" s="307"/>
      <c r="AQ45" s="307"/>
      <c r="AR45" s="307"/>
      <c r="AS45" s="307"/>
    </row>
    <row r="46" spans="1:45" x14ac:dyDescent="0.25">
      <c r="A46" s="49">
        <f>+A40</f>
        <v>37146</v>
      </c>
      <c r="B46" s="32"/>
      <c r="C46" s="32"/>
      <c r="D46" s="406">
        <f>+F35*'by type_area'!J4</f>
        <v>25425.749999999996</v>
      </c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12"/>
      <c r="AG46" s="312"/>
      <c r="AH46" s="313"/>
      <c r="AI46" s="314"/>
      <c r="AJ46" s="312"/>
      <c r="AK46" s="312"/>
      <c r="AL46" s="313"/>
      <c r="AM46" s="314"/>
      <c r="AN46" s="312"/>
      <c r="AO46" s="312"/>
      <c r="AP46" s="313"/>
      <c r="AQ46" s="307"/>
      <c r="AR46" s="307"/>
      <c r="AS46" s="307"/>
    </row>
    <row r="47" spans="1:45" x14ac:dyDescent="0.25">
      <c r="A47" s="32"/>
      <c r="B47" s="32"/>
      <c r="C47" s="32"/>
      <c r="D47" s="202">
        <f>+D46+D45</f>
        <v>490545.75</v>
      </c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12"/>
      <c r="AG47" s="312"/>
      <c r="AH47" s="313"/>
      <c r="AI47" s="314"/>
      <c r="AJ47" s="312"/>
      <c r="AK47" s="312"/>
      <c r="AL47" s="313"/>
      <c r="AM47" s="314"/>
      <c r="AN47" s="312"/>
      <c r="AO47" s="312"/>
      <c r="AP47" s="313"/>
      <c r="AQ47" s="307"/>
      <c r="AR47" s="307"/>
      <c r="AS47" s="307"/>
    </row>
    <row r="48" spans="1:45" x14ac:dyDescent="0.25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12"/>
      <c r="AG48" s="312"/>
      <c r="AH48" s="313"/>
      <c r="AI48" s="314"/>
      <c r="AJ48" s="312"/>
      <c r="AK48" s="312"/>
      <c r="AL48" s="313"/>
      <c r="AM48" s="314"/>
      <c r="AN48" s="312"/>
      <c r="AO48" s="312"/>
      <c r="AP48" s="313"/>
      <c r="AQ48" s="307"/>
      <c r="AR48" s="307"/>
      <c r="AS48" s="307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12"/>
      <c r="AG49" s="312"/>
      <c r="AH49" s="313"/>
      <c r="AI49" s="314"/>
      <c r="AJ49" s="312"/>
      <c r="AK49" s="312"/>
      <c r="AL49" s="313"/>
      <c r="AM49" s="314"/>
      <c r="AN49" s="312"/>
      <c r="AO49" s="312"/>
      <c r="AP49" s="313"/>
      <c r="AQ49" s="307"/>
      <c r="AR49" s="307"/>
      <c r="AS49" s="307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12"/>
      <c r="AG50" s="312"/>
      <c r="AH50" s="313"/>
      <c r="AI50" s="314"/>
      <c r="AJ50" s="312"/>
      <c r="AK50" s="312"/>
      <c r="AL50" s="313"/>
      <c r="AM50" s="314"/>
      <c r="AN50" s="312"/>
      <c r="AO50" s="312"/>
      <c r="AP50" s="313"/>
      <c r="AQ50" s="307"/>
      <c r="AR50" s="307"/>
      <c r="AS50" s="307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12"/>
      <c r="AG51" s="312"/>
      <c r="AH51" s="313"/>
      <c r="AI51" s="314"/>
      <c r="AJ51" s="312"/>
      <c r="AK51" s="312"/>
      <c r="AL51" s="313"/>
      <c r="AM51" s="314"/>
      <c r="AN51" s="312"/>
      <c r="AO51" s="312"/>
      <c r="AP51" s="313"/>
      <c r="AQ51" s="307"/>
      <c r="AR51" s="307"/>
      <c r="AS51" s="307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12"/>
      <c r="AG52" s="312"/>
      <c r="AH52" s="313"/>
      <c r="AI52" s="314"/>
      <c r="AJ52" s="312"/>
      <c r="AK52" s="312"/>
      <c r="AL52" s="313"/>
      <c r="AM52" s="314"/>
      <c r="AN52" s="312"/>
      <c r="AO52" s="312"/>
      <c r="AP52" s="313"/>
      <c r="AQ52" s="307"/>
      <c r="AR52" s="307"/>
      <c r="AS52" s="307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12"/>
      <c r="AG53" s="312"/>
      <c r="AH53" s="313"/>
      <c r="AI53" s="314"/>
      <c r="AJ53" s="312"/>
      <c r="AK53" s="312"/>
      <c r="AL53" s="313"/>
      <c r="AM53" s="314"/>
      <c r="AN53" s="312"/>
      <c r="AO53" s="312"/>
      <c r="AP53" s="313"/>
      <c r="AQ53" s="307"/>
      <c r="AR53" s="307"/>
      <c r="AS53" s="307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12"/>
      <c r="AG54" s="312"/>
      <c r="AH54" s="313"/>
      <c r="AI54" s="314"/>
      <c r="AJ54" s="312"/>
      <c r="AK54" s="312"/>
      <c r="AL54" s="313"/>
      <c r="AM54" s="314"/>
      <c r="AN54" s="312"/>
      <c r="AO54" s="312"/>
      <c r="AP54" s="313"/>
      <c r="AQ54" s="307"/>
      <c r="AR54" s="307"/>
      <c r="AS54" s="307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12"/>
      <c r="AG55" s="312"/>
      <c r="AH55" s="313"/>
      <c r="AI55" s="314"/>
      <c r="AJ55" s="312"/>
      <c r="AK55" s="312"/>
      <c r="AL55" s="313"/>
      <c r="AM55" s="314"/>
      <c r="AN55" s="312"/>
      <c r="AO55" s="312"/>
      <c r="AP55" s="313"/>
      <c r="AQ55" s="307"/>
      <c r="AR55" s="307"/>
      <c r="AS55" s="307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12"/>
      <c r="AG56" s="312"/>
      <c r="AH56" s="313"/>
      <c r="AI56" s="314"/>
      <c r="AJ56" s="312"/>
      <c r="AK56" s="312"/>
      <c r="AL56" s="313"/>
      <c r="AM56" s="314"/>
      <c r="AN56" s="312"/>
      <c r="AO56" s="312"/>
      <c r="AP56" s="313"/>
      <c r="AQ56" s="307"/>
      <c r="AR56" s="307"/>
      <c r="AS56" s="307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12"/>
      <c r="AG57" s="312"/>
      <c r="AH57" s="313"/>
      <c r="AI57" s="314"/>
      <c r="AJ57" s="312"/>
      <c r="AK57" s="312"/>
      <c r="AL57" s="313"/>
      <c r="AM57" s="314"/>
      <c r="AN57" s="312"/>
      <c r="AO57" s="312"/>
      <c r="AP57" s="313"/>
      <c r="AQ57" s="307"/>
      <c r="AR57" s="307"/>
      <c r="AS57" s="307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12"/>
      <c r="AG58" s="312"/>
      <c r="AH58" s="313"/>
      <c r="AI58" s="314"/>
      <c r="AJ58" s="312"/>
      <c r="AK58" s="312"/>
      <c r="AL58" s="313"/>
      <c r="AM58" s="314"/>
      <c r="AN58" s="312"/>
      <c r="AO58" s="312"/>
      <c r="AP58" s="313"/>
      <c r="AQ58" s="307"/>
      <c r="AR58" s="307"/>
      <c r="AS58" s="307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12"/>
      <c r="AG59" s="312"/>
      <c r="AH59" s="313"/>
      <c r="AI59" s="314"/>
      <c r="AJ59" s="312"/>
      <c r="AK59" s="312"/>
      <c r="AL59" s="313"/>
      <c r="AM59" s="314"/>
      <c r="AN59" s="312"/>
      <c r="AO59" s="312"/>
      <c r="AP59" s="313"/>
      <c r="AQ59" s="307"/>
      <c r="AR59" s="307"/>
      <c r="AS59" s="307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12"/>
      <c r="AG60" s="312"/>
      <c r="AH60" s="313"/>
      <c r="AI60" s="314"/>
      <c r="AJ60" s="312"/>
      <c r="AK60" s="312"/>
      <c r="AL60" s="313"/>
      <c r="AM60" s="314"/>
      <c r="AN60" s="312"/>
      <c r="AO60" s="312"/>
      <c r="AP60" s="313"/>
      <c r="AQ60" s="307"/>
      <c r="AR60" s="307"/>
      <c r="AS60" s="307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12"/>
      <c r="AG61" s="312"/>
      <c r="AH61" s="313"/>
      <c r="AI61" s="314"/>
      <c r="AJ61" s="312"/>
      <c r="AK61" s="312"/>
      <c r="AL61" s="313"/>
      <c r="AM61" s="314"/>
      <c r="AN61" s="312"/>
      <c r="AO61" s="312"/>
      <c r="AP61" s="313"/>
      <c r="AQ61" s="307"/>
      <c r="AR61" s="307"/>
      <c r="AS61" s="307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12"/>
      <c r="AG62" s="312"/>
      <c r="AH62" s="313"/>
      <c r="AI62" s="314"/>
      <c r="AJ62" s="312"/>
      <c r="AK62" s="312"/>
      <c r="AL62" s="313"/>
      <c r="AM62" s="314"/>
      <c r="AN62" s="312"/>
      <c r="AO62" s="312"/>
      <c r="AP62" s="313"/>
      <c r="AQ62" s="307"/>
      <c r="AR62" s="307"/>
      <c r="AS62" s="307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12"/>
      <c r="AG63" s="312"/>
      <c r="AH63" s="313"/>
      <c r="AI63" s="314"/>
      <c r="AJ63" s="312"/>
      <c r="AK63" s="312"/>
      <c r="AL63" s="313"/>
      <c r="AM63" s="314"/>
      <c r="AN63" s="312"/>
      <c r="AO63" s="312"/>
      <c r="AP63" s="313"/>
      <c r="AQ63" s="307"/>
      <c r="AR63" s="307"/>
      <c r="AS63" s="307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12"/>
      <c r="AG64" s="312"/>
      <c r="AH64" s="313"/>
      <c r="AI64" s="314"/>
      <c r="AJ64" s="312"/>
      <c r="AK64" s="312"/>
      <c r="AL64" s="313"/>
      <c r="AM64" s="314"/>
      <c r="AN64" s="312"/>
      <c r="AO64" s="312"/>
      <c r="AP64" s="313"/>
      <c r="AQ64" s="307"/>
      <c r="AR64" s="307"/>
      <c r="AS64" s="307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12"/>
      <c r="AG65" s="312"/>
      <c r="AH65" s="313"/>
      <c r="AI65" s="314"/>
      <c r="AJ65" s="312"/>
      <c r="AK65" s="312"/>
      <c r="AL65" s="313"/>
      <c r="AM65" s="314"/>
      <c r="AN65" s="312"/>
      <c r="AO65" s="312"/>
      <c r="AP65" s="313"/>
      <c r="AQ65" s="307"/>
      <c r="AR65" s="307"/>
      <c r="AS65" s="307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12"/>
      <c r="AG66" s="312"/>
      <c r="AH66" s="313"/>
      <c r="AI66" s="314"/>
      <c r="AJ66" s="312"/>
      <c r="AK66" s="312"/>
      <c r="AL66" s="313"/>
      <c r="AM66" s="314"/>
      <c r="AN66" s="312"/>
      <c r="AO66" s="312"/>
      <c r="AP66" s="313"/>
      <c r="AQ66" s="307"/>
      <c r="AR66" s="307"/>
      <c r="AS66" s="307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12"/>
      <c r="AG67" s="312"/>
      <c r="AH67" s="313"/>
      <c r="AI67" s="314"/>
      <c r="AJ67" s="312"/>
      <c r="AK67" s="312"/>
      <c r="AL67" s="313"/>
      <c r="AM67" s="314"/>
      <c r="AN67" s="312"/>
      <c r="AO67" s="312"/>
      <c r="AP67" s="313"/>
      <c r="AQ67" s="307"/>
      <c r="AR67" s="307"/>
      <c r="AS67" s="307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12"/>
      <c r="AG68" s="312"/>
      <c r="AH68" s="313"/>
      <c r="AI68" s="314"/>
      <c r="AJ68" s="312"/>
      <c r="AK68" s="312"/>
      <c r="AL68" s="313"/>
      <c r="AM68" s="314"/>
      <c r="AN68" s="312"/>
      <c r="AO68" s="312"/>
      <c r="AP68" s="313"/>
      <c r="AQ68" s="307"/>
      <c r="AR68" s="307"/>
      <c r="AS68" s="307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12"/>
      <c r="AG69" s="312"/>
      <c r="AH69" s="313"/>
      <c r="AI69" s="314"/>
      <c r="AJ69" s="312"/>
      <c r="AK69" s="312"/>
      <c r="AL69" s="313"/>
      <c r="AM69" s="314"/>
      <c r="AN69" s="312"/>
      <c r="AO69" s="312"/>
      <c r="AP69" s="313"/>
      <c r="AQ69" s="307"/>
      <c r="AR69" s="307"/>
      <c r="AS69" s="307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12"/>
      <c r="AG70" s="312"/>
      <c r="AH70" s="313"/>
      <c r="AI70" s="314"/>
      <c r="AJ70" s="312"/>
      <c r="AK70" s="312"/>
      <c r="AL70" s="313"/>
      <c r="AM70" s="314"/>
      <c r="AN70" s="312"/>
      <c r="AO70" s="312"/>
      <c r="AP70" s="313"/>
      <c r="AQ70" s="307"/>
      <c r="AR70" s="307"/>
      <c r="AS70" s="307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12"/>
      <c r="AG71" s="312"/>
      <c r="AH71" s="313"/>
      <c r="AI71" s="314"/>
      <c r="AJ71" s="312"/>
      <c r="AK71" s="312"/>
      <c r="AL71" s="313"/>
      <c r="AM71" s="314"/>
      <c r="AN71" s="312"/>
      <c r="AO71" s="312"/>
      <c r="AP71" s="313"/>
      <c r="AQ71" s="307"/>
      <c r="AR71" s="307"/>
      <c r="AS71" s="307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12"/>
      <c r="AG72" s="312"/>
      <c r="AH72" s="313"/>
      <c r="AI72" s="314"/>
      <c r="AJ72" s="312"/>
      <c r="AK72" s="312"/>
      <c r="AL72" s="313"/>
      <c r="AM72" s="314"/>
      <c r="AN72" s="312"/>
      <c r="AO72" s="312"/>
      <c r="AP72" s="313"/>
      <c r="AQ72" s="307"/>
      <c r="AR72" s="307"/>
      <c r="AS72" s="307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12"/>
      <c r="AG73" s="312"/>
      <c r="AH73" s="313"/>
      <c r="AI73" s="314"/>
      <c r="AJ73" s="312"/>
      <c r="AK73" s="312"/>
      <c r="AL73" s="313"/>
      <c r="AM73" s="314"/>
      <c r="AN73" s="312"/>
      <c r="AO73" s="312"/>
      <c r="AP73" s="313"/>
      <c r="AQ73" s="307"/>
      <c r="AR73" s="307"/>
      <c r="AS73" s="307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12"/>
      <c r="AG74" s="312"/>
      <c r="AH74" s="313"/>
      <c r="AI74" s="314"/>
      <c r="AJ74" s="312"/>
      <c r="AK74" s="312"/>
      <c r="AL74" s="313"/>
      <c r="AM74" s="314"/>
      <c r="AN74" s="312"/>
      <c r="AO74" s="312"/>
      <c r="AP74" s="313"/>
      <c r="AQ74" s="307"/>
      <c r="AR74" s="307"/>
      <c r="AS74" s="307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12"/>
      <c r="AG75" s="312"/>
      <c r="AH75" s="313"/>
      <c r="AI75" s="314"/>
      <c r="AJ75" s="312"/>
      <c r="AK75" s="312"/>
      <c r="AL75" s="313"/>
      <c r="AM75" s="314"/>
      <c r="AN75" s="312"/>
      <c r="AO75" s="312"/>
      <c r="AP75" s="313"/>
      <c r="AQ75" s="307"/>
      <c r="AR75" s="307"/>
      <c r="AS75" s="307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12"/>
      <c r="AG76" s="312"/>
      <c r="AH76" s="313"/>
      <c r="AI76" s="314"/>
      <c r="AJ76" s="312"/>
      <c r="AK76" s="312"/>
      <c r="AL76" s="313"/>
      <c r="AM76" s="314"/>
      <c r="AN76" s="312"/>
      <c r="AO76" s="312"/>
      <c r="AP76" s="313"/>
      <c r="AQ76" s="307"/>
      <c r="AR76" s="307"/>
      <c r="AS76" s="307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12"/>
      <c r="AG77" s="312"/>
      <c r="AH77" s="312"/>
      <c r="AI77" s="314"/>
      <c r="AJ77" s="312"/>
      <c r="AK77" s="312"/>
      <c r="AL77" s="312"/>
      <c r="AM77" s="314"/>
      <c r="AN77" s="312"/>
      <c r="AO77" s="312"/>
      <c r="AP77" s="312"/>
      <c r="AQ77" s="307"/>
      <c r="AR77" s="307"/>
      <c r="AS77" s="307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7"/>
      <c r="AG78" s="313"/>
      <c r="AH78" s="315"/>
      <c r="AI78" s="316"/>
      <c r="AJ78" s="307"/>
      <c r="AK78" s="313"/>
      <c r="AL78" s="315"/>
      <c r="AM78" s="316"/>
      <c r="AN78" s="307"/>
      <c r="AO78" s="313"/>
      <c r="AP78" s="315"/>
      <c r="AQ78" s="307"/>
      <c r="AR78" s="307"/>
      <c r="AS78" s="307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307"/>
      <c r="AG79" s="307"/>
      <c r="AH79" s="317"/>
      <c r="AI79" s="307"/>
      <c r="AJ79" s="307"/>
      <c r="AK79" s="307"/>
      <c r="AL79" s="317"/>
      <c r="AM79" s="307"/>
      <c r="AN79" s="307"/>
      <c r="AO79" s="307"/>
      <c r="AP79" s="317"/>
      <c r="AQ79" s="307"/>
      <c r="AR79" s="307"/>
      <c r="AS79" s="307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7"/>
      <c r="AG80" s="307"/>
      <c r="AH80" s="317"/>
      <c r="AI80" s="318"/>
      <c r="AJ80" s="307"/>
      <c r="AK80" s="307"/>
      <c r="AL80" s="317"/>
      <c r="AM80" s="318"/>
      <c r="AN80" s="307"/>
      <c r="AO80" s="307"/>
      <c r="AP80" s="317"/>
      <c r="AQ80" s="307"/>
      <c r="AR80" s="307"/>
      <c r="AS80" s="307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7"/>
      <c r="AG81" s="307"/>
      <c r="AH81" s="317"/>
      <c r="AI81" s="315"/>
      <c r="AJ81" s="307"/>
      <c r="AK81" s="307"/>
      <c r="AL81" s="317"/>
      <c r="AM81" s="315"/>
      <c r="AN81" s="307"/>
      <c r="AO81" s="307"/>
      <c r="AP81" s="317"/>
      <c r="AQ81" s="307"/>
      <c r="AR81" s="307"/>
      <c r="AS81" s="307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7"/>
      <c r="AG82" s="307"/>
      <c r="AH82" s="317"/>
      <c r="AI82" s="318"/>
      <c r="AJ82" s="307"/>
      <c r="AK82" s="307"/>
      <c r="AL82" s="317"/>
      <c r="AM82" s="318"/>
      <c r="AN82" s="307"/>
      <c r="AO82" s="307"/>
      <c r="AP82" s="317"/>
      <c r="AQ82" s="307"/>
      <c r="AR82" s="307"/>
      <c r="AS82" s="307"/>
    </row>
    <row r="83" spans="4:45" x14ac:dyDescent="0.25">
      <c r="AE83" s="32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</row>
    <row r="84" spans="4:45" x14ac:dyDescent="0.25">
      <c r="AE84" s="32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</row>
    <row r="85" spans="4:45" x14ac:dyDescent="0.25"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</row>
    <row r="86" spans="4:45" x14ac:dyDescent="0.25"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</row>
    <row r="87" spans="4:45" x14ac:dyDescent="0.25"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</row>
    <row r="88" spans="4:45" x14ac:dyDescent="0.25"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</row>
    <row r="89" spans="4:45" x14ac:dyDescent="0.25"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</row>
    <row r="90" spans="4:45" x14ac:dyDescent="0.25"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</row>
    <row r="91" spans="4:45" x14ac:dyDescent="0.25">
      <c r="AF91" s="307"/>
      <c r="AG91" s="307"/>
      <c r="AH91" s="307"/>
      <c r="AI91" s="307"/>
      <c r="AJ91" s="307"/>
      <c r="AK91" s="307"/>
      <c r="AL91" s="307"/>
      <c r="AM91" s="307"/>
      <c r="AN91" s="307"/>
      <c r="AO91" s="307"/>
      <c r="AP91" s="307"/>
      <c r="AQ91" s="307"/>
      <c r="AR91" s="307"/>
      <c r="AS91" s="307"/>
    </row>
    <row r="92" spans="4:45" x14ac:dyDescent="0.25">
      <c r="AF92" s="307"/>
      <c r="AG92" s="307"/>
      <c r="AH92" s="307"/>
      <c r="AI92" s="307"/>
      <c r="AJ92" s="307"/>
      <c r="AK92" s="307"/>
      <c r="AL92" s="307"/>
      <c r="AM92" s="307"/>
      <c r="AN92" s="307"/>
      <c r="AO92" s="307"/>
      <c r="AP92" s="307"/>
      <c r="AQ92" s="307"/>
      <c r="AR92" s="307"/>
      <c r="AS92" s="307"/>
    </row>
    <row r="93" spans="4:45" x14ac:dyDescent="0.25">
      <c r="AF93" s="307"/>
      <c r="AG93" s="307"/>
      <c r="AH93" s="307"/>
      <c r="AI93" s="307"/>
      <c r="AJ93" s="307"/>
      <c r="AK93" s="307"/>
      <c r="AL93" s="307"/>
      <c r="AM93" s="307"/>
      <c r="AN93" s="307"/>
      <c r="AO93" s="307"/>
      <c r="AP93" s="307"/>
      <c r="AQ93" s="307"/>
      <c r="AR93" s="307"/>
      <c r="AS93" s="307"/>
    </row>
    <row r="94" spans="4:45" x14ac:dyDescent="0.25">
      <c r="AF94" s="307"/>
      <c r="AG94" s="307"/>
      <c r="AH94" s="307"/>
      <c r="AI94" s="307"/>
      <c r="AJ94" s="307"/>
      <c r="AK94" s="307"/>
      <c r="AL94" s="307"/>
      <c r="AM94" s="307"/>
      <c r="AN94" s="307"/>
      <c r="AO94" s="307"/>
      <c r="AP94" s="307"/>
      <c r="AQ94" s="307"/>
      <c r="AR94" s="307"/>
      <c r="AS94" s="307"/>
    </row>
    <row r="95" spans="4:45" x14ac:dyDescent="0.25">
      <c r="AF95" s="307"/>
      <c r="AG95" s="307"/>
      <c r="AH95" s="307"/>
      <c r="AI95" s="307"/>
      <c r="AJ95" s="307"/>
      <c r="AK95" s="307"/>
      <c r="AL95" s="307"/>
      <c r="AM95" s="307"/>
      <c r="AN95" s="307"/>
      <c r="AO95" s="307"/>
      <c r="AP95" s="307"/>
      <c r="AQ95" s="307"/>
      <c r="AR95" s="307"/>
      <c r="AS95" s="307"/>
    </row>
    <row r="96" spans="4:45" x14ac:dyDescent="0.25">
      <c r="AF96" s="307"/>
      <c r="AG96" s="307"/>
      <c r="AH96" s="307"/>
      <c r="AI96" s="307"/>
      <c r="AJ96" s="307"/>
      <c r="AK96" s="307"/>
      <c r="AL96" s="307"/>
      <c r="AM96" s="307"/>
      <c r="AN96" s="307"/>
      <c r="AO96" s="307"/>
      <c r="AP96" s="307"/>
      <c r="AQ96" s="307"/>
      <c r="AR96" s="307"/>
      <c r="AS96" s="307"/>
    </row>
    <row r="97" spans="32:45" x14ac:dyDescent="0.25">
      <c r="AF97" s="307"/>
      <c r="AG97" s="307"/>
      <c r="AH97" s="307"/>
      <c r="AI97" s="307"/>
      <c r="AJ97" s="307"/>
      <c r="AK97" s="307"/>
      <c r="AL97" s="307"/>
      <c r="AM97" s="307"/>
      <c r="AN97" s="307"/>
      <c r="AO97" s="307"/>
      <c r="AP97" s="307"/>
      <c r="AQ97" s="307"/>
      <c r="AR97" s="307"/>
      <c r="AS97" s="307"/>
    </row>
    <row r="98" spans="32:45" x14ac:dyDescent="0.25">
      <c r="AF98" s="307"/>
      <c r="AG98" s="307"/>
      <c r="AH98" s="307"/>
      <c r="AI98" s="307"/>
      <c r="AJ98" s="307"/>
      <c r="AK98" s="307"/>
      <c r="AL98" s="307"/>
      <c r="AM98" s="307"/>
      <c r="AN98" s="307"/>
      <c r="AO98" s="307"/>
      <c r="AP98" s="307"/>
      <c r="AQ98" s="307"/>
      <c r="AR98" s="307"/>
      <c r="AS98" s="307"/>
    </row>
    <row r="99" spans="32:45" x14ac:dyDescent="0.25">
      <c r="AF99" s="307"/>
      <c r="AG99" s="307"/>
      <c r="AH99" s="307"/>
      <c r="AI99" s="307"/>
      <c r="AJ99" s="307"/>
      <c r="AK99" s="307"/>
      <c r="AL99" s="307"/>
      <c r="AM99" s="307"/>
      <c r="AN99" s="307"/>
      <c r="AO99" s="307"/>
      <c r="AP99" s="307"/>
      <c r="AQ99" s="307"/>
      <c r="AR99" s="307"/>
      <c r="AS99" s="307"/>
    </row>
    <row r="100" spans="32:45" x14ac:dyDescent="0.25">
      <c r="AF100" s="307"/>
      <c r="AG100" s="307"/>
      <c r="AH100" s="307"/>
      <c r="AI100" s="307"/>
      <c r="AJ100" s="307"/>
      <c r="AK100" s="307"/>
      <c r="AL100" s="307"/>
      <c r="AM100" s="307"/>
      <c r="AN100" s="307"/>
      <c r="AO100" s="307"/>
      <c r="AP100" s="307"/>
      <c r="AQ100" s="307"/>
      <c r="AR100" s="307"/>
      <c r="AS100" s="307"/>
    </row>
    <row r="101" spans="32:45" x14ac:dyDescent="0.25">
      <c r="AF101" s="307"/>
      <c r="AG101" s="307"/>
      <c r="AH101" s="307"/>
      <c r="AI101" s="307"/>
      <c r="AJ101" s="307"/>
      <c r="AK101" s="307"/>
      <c r="AL101" s="307"/>
      <c r="AM101" s="307"/>
      <c r="AN101" s="307"/>
      <c r="AO101" s="307"/>
      <c r="AP101" s="307"/>
      <c r="AQ101" s="307"/>
      <c r="AR101" s="307"/>
      <c r="AS101" s="307"/>
    </row>
    <row r="102" spans="32:45" x14ac:dyDescent="0.25">
      <c r="AF102" s="307"/>
      <c r="AG102" s="307"/>
      <c r="AH102" s="307"/>
      <c r="AI102" s="307"/>
      <c r="AJ102" s="307"/>
      <c r="AK102" s="307"/>
      <c r="AL102" s="307"/>
      <c r="AM102" s="307"/>
      <c r="AN102" s="307"/>
      <c r="AO102" s="307"/>
      <c r="AP102" s="307"/>
      <c r="AQ102" s="307"/>
      <c r="AR102" s="307"/>
      <c r="AS102" s="307"/>
    </row>
    <row r="103" spans="32:45" x14ac:dyDescent="0.25">
      <c r="AF103" s="307"/>
      <c r="AG103" s="307"/>
      <c r="AH103" s="307"/>
      <c r="AI103" s="307"/>
      <c r="AJ103" s="307"/>
      <c r="AK103" s="307"/>
      <c r="AL103" s="307"/>
      <c r="AM103" s="307"/>
      <c r="AN103" s="307"/>
      <c r="AO103" s="307"/>
      <c r="AP103" s="307"/>
      <c r="AQ103" s="307"/>
      <c r="AR103" s="307"/>
      <c r="AS103" s="307"/>
    </row>
    <row r="104" spans="32:45" x14ac:dyDescent="0.25">
      <c r="AF104" s="307"/>
      <c r="AG104" s="307"/>
      <c r="AH104" s="307"/>
      <c r="AI104" s="307"/>
      <c r="AJ104" s="307"/>
      <c r="AK104" s="307"/>
      <c r="AL104" s="307"/>
      <c r="AM104" s="307"/>
      <c r="AN104" s="307"/>
      <c r="AO104" s="307"/>
      <c r="AP104" s="307"/>
      <c r="AQ104" s="307"/>
      <c r="AR104" s="307"/>
      <c r="AS104" s="307"/>
    </row>
    <row r="105" spans="32:45" x14ac:dyDescent="0.25">
      <c r="AF105" s="307"/>
      <c r="AG105" s="307"/>
      <c r="AH105" s="307"/>
      <c r="AI105" s="307"/>
      <c r="AJ105" s="307"/>
      <c r="AK105" s="307"/>
      <c r="AL105" s="307"/>
      <c r="AM105" s="307"/>
      <c r="AN105" s="307"/>
      <c r="AO105" s="307"/>
      <c r="AP105" s="307"/>
      <c r="AQ105" s="307"/>
      <c r="AR105" s="307"/>
      <c r="AS105" s="30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25" workbookViewId="3">
      <selection activeCell="C35" sqref="C35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32" bestFit="1" customWidth="1"/>
    <col min="12" max="13" width="10.88671875" style="32" bestFit="1" customWidth="1"/>
    <col min="14" max="14" width="12" style="32" bestFit="1" customWidth="1"/>
    <col min="15" max="15" width="9.109375" style="32"/>
    <col min="16" max="16" width="11.6640625" style="32" bestFit="1" customWidth="1"/>
    <col min="17" max="21" width="9.109375" style="32"/>
    <col min="22" max="22" width="10.6640625" style="32" bestFit="1" customWidth="1"/>
    <col min="23" max="16384" width="9.10937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3.2" x14ac:dyDescent="0.25">
      <c r="A4" s="41">
        <v>1</v>
      </c>
      <c r="B4" s="11">
        <v>-89270</v>
      </c>
      <c r="C4" s="11">
        <v>-72220</v>
      </c>
      <c r="D4" s="11">
        <v>0</v>
      </c>
      <c r="E4" s="11">
        <v>-16950</v>
      </c>
      <c r="F4" s="11"/>
      <c r="G4" s="11"/>
      <c r="H4" s="11">
        <f>+G4+E4+C4-F4-D4-B4</f>
        <v>100</v>
      </c>
      <c r="I4" s="11"/>
      <c r="J4" s="102"/>
      <c r="K4" s="449"/>
      <c r="L4" s="449"/>
      <c r="M4" s="449"/>
      <c r="N4" s="449"/>
      <c r="O4" s="295"/>
      <c r="P4" s="295"/>
    </row>
    <row r="5" spans="1:17" ht="13.2" x14ac:dyDescent="0.25">
      <c r="A5" s="41">
        <v>2</v>
      </c>
      <c r="B5" s="11">
        <v>-96891</v>
      </c>
      <c r="C5" s="11">
        <v>-72220</v>
      </c>
      <c r="D5" s="129">
        <v>0</v>
      </c>
      <c r="E5" s="11">
        <v>-24950</v>
      </c>
      <c r="F5" s="11"/>
      <c r="G5" s="11"/>
      <c r="H5" s="11">
        <f t="shared" ref="H5:H34" si="0">+G5+E5+C5-F5-D5-B5</f>
        <v>-279</v>
      </c>
      <c r="I5" s="11"/>
      <c r="J5" s="102"/>
      <c r="K5" s="118"/>
      <c r="L5" s="34"/>
      <c r="M5" s="34"/>
      <c r="N5" s="189"/>
      <c r="O5" s="450" t="s">
        <v>197</v>
      </c>
      <c r="P5" s="189"/>
      <c r="Q5" s="2"/>
    </row>
    <row r="6" spans="1:17" ht="13.2" x14ac:dyDescent="0.25">
      <c r="A6" s="41">
        <v>3</v>
      </c>
      <c r="B6" s="11">
        <v>-97824</v>
      </c>
      <c r="C6" s="11">
        <v>-72220</v>
      </c>
      <c r="D6" s="11"/>
      <c r="E6" s="11">
        <v>-24950</v>
      </c>
      <c r="F6" s="11"/>
      <c r="G6" s="11"/>
      <c r="H6" s="11">
        <f t="shared" si="0"/>
        <v>654</v>
      </c>
      <c r="I6" s="11"/>
      <c r="J6" s="102"/>
      <c r="K6" s="118" t="s">
        <v>40</v>
      </c>
      <c r="L6" s="451" t="s">
        <v>20</v>
      </c>
      <c r="M6" s="451" t="s">
        <v>21</v>
      </c>
      <c r="N6" s="452" t="s">
        <v>51</v>
      </c>
      <c r="O6" s="450" t="s">
        <v>16</v>
      </c>
      <c r="P6" s="189" t="s">
        <v>28</v>
      </c>
      <c r="Q6" s="2"/>
    </row>
    <row r="7" spans="1:17" ht="13.2" x14ac:dyDescent="0.25">
      <c r="A7" s="41">
        <v>4</v>
      </c>
      <c r="B7" s="11">
        <v>-102043</v>
      </c>
      <c r="C7" s="11">
        <v>-77338</v>
      </c>
      <c r="D7" s="129"/>
      <c r="E7" s="11">
        <v>-24624</v>
      </c>
      <c r="F7" s="11"/>
      <c r="G7" s="11"/>
      <c r="H7" s="11">
        <f t="shared" si="0"/>
        <v>81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3.2" x14ac:dyDescent="0.25">
      <c r="A8" s="41">
        <v>5</v>
      </c>
      <c r="B8" s="129">
        <v>-85354</v>
      </c>
      <c r="C8" s="11">
        <v>-69960</v>
      </c>
      <c r="D8" s="11"/>
      <c r="E8" s="11">
        <v>-14933</v>
      </c>
      <c r="F8" s="11"/>
      <c r="G8" s="11"/>
      <c r="H8" s="11">
        <f t="shared" si="0"/>
        <v>461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5">
      <c r="A9" s="41">
        <v>6</v>
      </c>
      <c r="B9" s="11">
        <v>-48847</v>
      </c>
      <c r="C9" s="11">
        <v>-43328</v>
      </c>
      <c r="D9" s="11"/>
      <c r="E9" s="11">
        <v>-4968</v>
      </c>
      <c r="F9" s="11"/>
      <c r="G9" s="11"/>
      <c r="H9" s="11">
        <f t="shared" si="0"/>
        <v>551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50">
        <v>8.2100000000000009</v>
      </c>
      <c r="P9" s="455">
        <f t="shared" ref="P9:P15" si="2">+O9*N9</f>
        <v>82231.360000000015</v>
      </c>
      <c r="Q9" s="2"/>
    </row>
    <row r="10" spans="1:17" ht="20.100000000000001" customHeight="1" x14ac:dyDescent="0.25">
      <c r="A10" s="41">
        <v>7</v>
      </c>
      <c r="B10" s="129">
        <v>-92703</v>
      </c>
      <c r="C10" s="11">
        <v>-80852</v>
      </c>
      <c r="D10" s="11"/>
      <c r="E10" s="11">
        <v>-11848</v>
      </c>
      <c r="F10" s="11"/>
      <c r="G10" s="11"/>
      <c r="H10" s="11">
        <f t="shared" si="0"/>
        <v>3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50">
        <v>5.62</v>
      </c>
      <c r="P10" s="455">
        <f t="shared" si="2"/>
        <v>74526.820000000007</v>
      </c>
      <c r="Q10" s="2"/>
    </row>
    <row r="11" spans="1:17" ht="20.100000000000001" customHeight="1" x14ac:dyDescent="0.25">
      <c r="A11" s="41">
        <v>8</v>
      </c>
      <c r="B11" s="11">
        <v>-118238</v>
      </c>
      <c r="C11" s="11">
        <v>-73499</v>
      </c>
      <c r="D11" s="129"/>
      <c r="E11" s="11">
        <v>-44100</v>
      </c>
      <c r="F11" s="11"/>
      <c r="G11" s="11"/>
      <c r="H11" s="11">
        <f t="shared" si="0"/>
        <v>639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50">
        <v>4.9800000000000004</v>
      </c>
      <c r="P11" s="455">
        <f t="shared" si="2"/>
        <v>16568.460000000003</v>
      </c>
      <c r="Q11" s="2"/>
    </row>
    <row r="12" spans="1:17" ht="20.100000000000001" customHeight="1" x14ac:dyDescent="0.25">
      <c r="A12" s="41">
        <v>9</v>
      </c>
      <c r="B12" s="11">
        <v>-108131</v>
      </c>
      <c r="C12" s="11">
        <v>-67831</v>
      </c>
      <c r="D12" s="11"/>
      <c r="E12" s="11">
        <v>-44100</v>
      </c>
      <c r="F12" s="11"/>
      <c r="G12" s="11"/>
      <c r="H12" s="11">
        <f t="shared" si="0"/>
        <v>-3800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50">
        <v>4.87</v>
      </c>
      <c r="P12" s="455">
        <f t="shared" si="2"/>
        <v>131246.5</v>
      </c>
      <c r="Q12" s="2"/>
    </row>
    <row r="13" spans="1:17" ht="20.100000000000001" customHeight="1" x14ac:dyDescent="0.25">
      <c r="A13" s="41">
        <v>10</v>
      </c>
      <c r="B13" s="11">
        <v>-117446</v>
      </c>
      <c r="C13" s="11">
        <v>-72624</v>
      </c>
      <c r="D13" s="11"/>
      <c r="E13" s="129">
        <v>-44100</v>
      </c>
      <c r="F13" s="11"/>
      <c r="G13" s="11"/>
      <c r="H13" s="11">
        <f t="shared" si="0"/>
        <v>722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50">
        <v>3.82</v>
      </c>
      <c r="P13" s="455">
        <f t="shared" si="2"/>
        <v>-67060.099999999991</v>
      </c>
      <c r="Q13" s="104"/>
    </row>
    <row r="14" spans="1:17" ht="20.100000000000001" customHeight="1" x14ac:dyDescent="0.25">
      <c r="A14" s="41">
        <v>11</v>
      </c>
      <c r="B14" s="11">
        <v>-71297</v>
      </c>
      <c r="C14" s="11">
        <v>-71801</v>
      </c>
      <c r="D14" s="11"/>
      <c r="E14" s="11"/>
      <c r="F14" s="11"/>
      <c r="G14" s="11"/>
      <c r="H14" s="11">
        <f t="shared" si="0"/>
        <v>-504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50">
        <v>3.2</v>
      </c>
      <c r="P14" s="455">
        <f t="shared" si="2"/>
        <v>111001.60000000001</v>
      </c>
      <c r="Q14" s="104"/>
    </row>
    <row r="15" spans="1:17" ht="20.100000000000001" customHeight="1" x14ac:dyDescent="0.25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50">
        <v>2.77</v>
      </c>
      <c r="P15" s="456">
        <f t="shared" si="2"/>
        <v>112320.73</v>
      </c>
      <c r="Q15" s="2"/>
    </row>
    <row r="16" spans="1:17" ht="20.100000000000001" customHeight="1" thickBot="1" x14ac:dyDescent="0.3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34"/>
      <c r="L16" s="119"/>
      <c r="M16" s="119"/>
      <c r="N16" s="119"/>
      <c r="O16" s="453"/>
      <c r="P16" s="454">
        <f>SUM(P9:P15)</f>
        <v>460835.37</v>
      </c>
      <c r="Q16" s="2"/>
    </row>
    <row r="17" spans="1:17" ht="13.8" thickTop="1" x14ac:dyDescent="0.25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3.2" x14ac:dyDescent="0.25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3.2" x14ac:dyDescent="0.25">
      <c r="A19" s="41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3.2" x14ac:dyDescent="0.25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08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11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-1028044</v>
      </c>
      <c r="C35" s="44">
        <f t="shared" si="3"/>
        <v>-773893</v>
      </c>
      <c r="D35" s="11">
        <f t="shared" si="3"/>
        <v>0</v>
      </c>
      <c r="E35" s="44">
        <f t="shared" si="3"/>
        <v>-255523</v>
      </c>
      <c r="F35" s="11">
        <f t="shared" si="3"/>
        <v>0</v>
      </c>
      <c r="G35" s="11">
        <f t="shared" si="3"/>
        <v>0</v>
      </c>
      <c r="H35" s="11">
        <f t="shared" si="3"/>
        <v>-1372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2.0299999999999998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-2785.16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4">
        <v>37134</v>
      </c>
      <c r="F38" s="47"/>
      <c r="G38" s="48"/>
      <c r="H38" s="484">
        <v>457935.18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37145</v>
      </c>
      <c r="F39" s="47"/>
      <c r="G39" s="47"/>
      <c r="H39" s="137">
        <f>+H38+H37</f>
        <v>455150.02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32" t="s">
        <v>157</v>
      </c>
      <c r="F45" s="11"/>
      <c r="G45" s="11"/>
      <c r="H45" s="11"/>
      <c r="J45" s="102"/>
    </row>
    <row r="46" spans="1:14" x14ac:dyDescent="0.2">
      <c r="A46" s="101"/>
      <c r="B46" s="49">
        <f>+E38</f>
        <v>37134</v>
      </c>
      <c r="E46" s="14">
        <v>110189</v>
      </c>
      <c r="F46" s="11"/>
      <c r="G46" s="11"/>
      <c r="H46" s="11">
        <f>27452*2.81</f>
        <v>77140.12</v>
      </c>
      <c r="J46" s="102"/>
      <c r="L46" s="2"/>
    </row>
    <row r="47" spans="1:14" x14ac:dyDescent="0.2">
      <c r="A47" s="101"/>
      <c r="B47" s="49">
        <f>+E39</f>
        <v>37145</v>
      </c>
      <c r="E47" s="377">
        <f>+H35</f>
        <v>-1372</v>
      </c>
      <c r="F47" s="11"/>
      <c r="G47" s="11"/>
      <c r="H47" s="11"/>
      <c r="J47" s="102"/>
      <c r="L47" s="2"/>
    </row>
    <row r="48" spans="1:14" x14ac:dyDescent="0.2">
      <c r="A48" s="101"/>
      <c r="E48" s="14">
        <f>+E47+E46</f>
        <v>108817</v>
      </c>
      <c r="F48" s="11"/>
      <c r="G48" s="11"/>
      <c r="H48" s="11"/>
      <c r="J48" s="102"/>
      <c r="K48" s="4"/>
      <c r="L48" s="38"/>
      <c r="M48" s="4"/>
    </row>
    <row r="49" spans="1:15" ht="13.2" x14ac:dyDescent="0.25">
      <c r="A49" s="101"/>
      <c r="B49" s="139"/>
      <c r="C49" s="119"/>
      <c r="D49" s="140"/>
      <c r="E49" s="140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D42" sqref="D42"/>
    </sheetView>
    <sheetView topLeftCell="A6" workbookViewId="3">
      <selection activeCell="F12" sqref="F12"/>
    </sheetView>
  </sheetViews>
  <sheetFormatPr defaultRowHeight="13.2" x14ac:dyDescent="0.25"/>
  <cols>
    <col min="1" max="1" width="8.5546875" customWidth="1"/>
    <col min="2" max="2" width="10.44140625" customWidth="1"/>
    <col min="3" max="3" width="9.88671875" bestFit="1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5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-250508</v>
      </c>
      <c r="E5" s="11">
        <v>-251915</v>
      </c>
      <c r="F5" s="11"/>
      <c r="G5" s="11"/>
      <c r="H5" s="24">
        <f>+E5-D5+C5-B5</f>
        <v>-1407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5">
      <c r="A6" s="10">
        <v>2</v>
      </c>
      <c r="B6" s="11"/>
      <c r="C6" s="11"/>
      <c r="D6" s="129">
        <v>-266868</v>
      </c>
      <c r="E6" s="11">
        <v>-268107</v>
      </c>
      <c r="F6" s="11"/>
      <c r="G6" s="11"/>
      <c r="H6" s="24">
        <f t="shared" ref="H6:H35" si="0">+E6-D6+C6-B6</f>
        <v>-1239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5">
      <c r="A7" s="10">
        <v>3</v>
      </c>
      <c r="B7" s="11"/>
      <c r="C7" s="129"/>
      <c r="D7" s="129">
        <v>-280823</v>
      </c>
      <c r="E7" s="129">
        <v>-279686</v>
      </c>
      <c r="F7" s="11"/>
      <c r="G7" s="11"/>
      <c r="H7" s="24">
        <f t="shared" si="0"/>
        <v>1137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29">
        <v>-269685</v>
      </c>
      <c r="E8" s="129">
        <v>-270741</v>
      </c>
      <c r="F8" s="11"/>
      <c r="G8" s="11"/>
      <c r="H8" s="24">
        <f t="shared" si="0"/>
        <v>-1056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v>-292953</v>
      </c>
      <c r="E9" s="11">
        <v>-307670</v>
      </c>
      <c r="F9" s="11"/>
      <c r="G9" s="11"/>
      <c r="H9" s="24">
        <f t="shared" si="0"/>
        <v>-14717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v>-302287</v>
      </c>
      <c r="E10" s="11">
        <v>-324302</v>
      </c>
      <c r="F10" s="11"/>
      <c r="G10" s="11"/>
      <c r="H10" s="24">
        <f t="shared" si="0"/>
        <v>-22015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>
        <v>25</v>
      </c>
      <c r="C11" s="11"/>
      <c r="D11" s="11">
        <v>-316556</v>
      </c>
      <c r="E11" s="11">
        <v>-315034</v>
      </c>
      <c r="F11" s="11">
        <v>25</v>
      </c>
      <c r="G11" s="11"/>
      <c r="H11" s="24">
        <f t="shared" si="0"/>
        <v>1497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29">
        <v>-299575</v>
      </c>
      <c r="E12" s="11">
        <v>-292964</v>
      </c>
      <c r="F12" s="11"/>
      <c r="G12" s="11"/>
      <c r="H12" s="24">
        <f t="shared" si="0"/>
        <v>6611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>
        <v>-299393</v>
      </c>
      <c r="E13" s="11">
        <v>-300098</v>
      </c>
      <c r="F13" s="11"/>
      <c r="G13" s="11"/>
      <c r="H13" s="24">
        <f t="shared" si="0"/>
        <v>-705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>
        <v>-304849</v>
      </c>
      <c r="E14" s="11">
        <v>-290831</v>
      </c>
      <c r="F14" s="11"/>
      <c r="G14" s="11"/>
      <c r="H14" s="24">
        <f t="shared" si="0"/>
        <v>14018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>
        <v>-311901</v>
      </c>
      <c r="E15" s="11">
        <v>-310222</v>
      </c>
      <c r="F15" s="11"/>
      <c r="G15" s="11"/>
      <c r="H15" s="24">
        <f t="shared" si="0"/>
        <v>1679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1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25</v>
      </c>
      <c r="C36" s="11">
        <f t="shared" si="15"/>
        <v>0</v>
      </c>
      <c r="D36" s="11">
        <f t="shared" si="15"/>
        <v>-3195398</v>
      </c>
      <c r="E36" s="11">
        <f t="shared" si="15"/>
        <v>-3211570</v>
      </c>
      <c r="F36" s="11">
        <f t="shared" si="15"/>
        <v>25</v>
      </c>
      <c r="G36" s="11">
        <f t="shared" si="15"/>
        <v>0</v>
      </c>
      <c r="H36" s="11">
        <f t="shared" si="15"/>
        <v>-16197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C37" s="25">
        <f>+C36-B36</f>
        <v>-25</v>
      </c>
      <c r="E37" s="25">
        <f>+E36-D36</f>
        <v>-16172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37134</v>
      </c>
      <c r="B38" s="2" t="s">
        <v>46</v>
      </c>
      <c r="C38" s="471">
        <v>64269</v>
      </c>
      <c r="D38" s="338"/>
      <c r="E38" s="470">
        <v>-65974</v>
      </c>
      <c r="F38" s="24"/>
      <c r="G38" s="24"/>
      <c r="H38" s="240">
        <f>+C38+E38+G38</f>
        <v>-1705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57">
        <v>37145</v>
      </c>
      <c r="B39" s="2" t="s">
        <v>46</v>
      </c>
      <c r="C39" s="131">
        <f>+C38+C37</f>
        <v>64244</v>
      </c>
      <c r="D39" s="259"/>
      <c r="E39" s="131">
        <f>+E38+E37</f>
        <v>-82146</v>
      </c>
      <c r="F39" s="259"/>
      <c r="G39" s="131"/>
      <c r="H39" s="131">
        <f>+H38+H36</f>
        <v>-17902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D40" s="250"/>
      <c r="E40" s="250"/>
      <c r="F40" s="254"/>
      <c r="G40" s="250"/>
      <c r="H40" s="343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C41" s="267"/>
      <c r="E41" s="367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77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32" t="s">
        <v>158</v>
      </c>
      <c r="B43" s="32"/>
      <c r="C43" s="32"/>
      <c r="D43" s="47"/>
      <c r="E43" s="282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49">
        <f>+A38</f>
        <v>37134</v>
      </c>
      <c r="B44" s="32"/>
      <c r="C44" s="472">
        <v>-1582961.01</v>
      </c>
      <c r="D44" s="207"/>
      <c r="E44" s="473">
        <v>942518.92</v>
      </c>
      <c r="F44" s="47">
        <f>+E44+C44</f>
        <v>-640442.09</v>
      </c>
      <c r="G44" s="252"/>
      <c r="H44" s="410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49">
        <f>+A39</f>
        <v>37145</v>
      </c>
      <c r="B45" s="32"/>
      <c r="C45" s="47">
        <f>+C37*summary!H4</f>
        <v>-50.749999999999993</v>
      </c>
      <c r="D45" s="207"/>
      <c r="E45" s="408">
        <f>+E37*summary!H3</f>
        <v>-31373.68</v>
      </c>
      <c r="F45" s="47">
        <f>+E45+C45</f>
        <v>-31424.43</v>
      </c>
      <c r="G45" s="252"/>
      <c r="H45" s="410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32"/>
      <c r="B46" s="32"/>
      <c r="C46" s="47">
        <f>+C45+C44</f>
        <v>-1583011.76</v>
      </c>
      <c r="D46" s="207"/>
      <c r="E46" s="408">
        <f>+E45+E44</f>
        <v>911145.24</v>
      </c>
      <c r="F46" s="47">
        <f>+E46+C46</f>
        <v>-671866.52</v>
      </c>
      <c r="G46" s="252"/>
      <c r="H46" s="410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408"/>
      <c r="D47" s="408"/>
      <c r="E47" s="408"/>
      <c r="F47" s="47"/>
      <c r="G47" s="252"/>
      <c r="H47" s="410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74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74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A40" sqref="A40"/>
    </sheetView>
    <sheetView topLeftCell="A25" workbookViewId="3">
      <selection activeCell="C41" sqref="C41"/>
    </sheetView>
  </sheetViews>
  <sheetFormatPr defaultRowHeight="13.2" x14ac:dyDescent="0.25"/>
  <cols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"/>
      <c r="B4" s="1" t="s">
        <v>47</v>
      </c>
      <c r="E4" s="3"/>
      <c r="F4" s="1"/>
      <c r="I4" s="3"/>
      <c r="J4" s="1"/>
      <c r="M4" s="3"/>
      <c r="N4" s="1"/>
    </row>
    <row r="5" spans="1:16" x14ac:dyDescent="0.25">
      <c r="A5" s="5" t="s">
        <v>11</v>
      </c>
      <c r="B5" s="6" t="s">
        <v>20</v>
      </c>
      <c r="C5" s="6" t="s">
        <v>21</v>
      </c>
      <c r="D5" s="6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5">
      <c r="A6" s="10">
        <v>1</v>
      </c>
      <c r="B6" s="11">
        <v>139453</v>
      </c>
      <c r="C6" s="11">
        <v>137487</v>
      </c>
      <c r="D6" s="25">
        <f>+C6-B6</f>
        <v>-1966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5">
      <c r="A7" s="10">
        <v>2</v>
      </c>
      <c r="B7" s="129">
        <v>136238</v>
      </c>
      <c r="C7" s="11">
        <v>132590</v>
      </c>
      <c r="D7" s="25">
        <f>+C7-B7</f>
        <v>-3648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5">
      <c r="A8" s="10">
        <v>3</v>
      </c>
      <c r="B8" s="129">
        <v>140193</v>
      </c>
      <c r="C8" s="11">
        <v>138247</v>
      </c>
      <c r="D8" s="25">
        <f t="shared" ref="D8:D36" si="0">+C8-B8</f>
        <v>-1946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5">
      <c r="A9" s="10">
        <v>4</v>
      </c>
      <c r="B9" s="129">
        <v>139552</v>
      </c>
      <c r="C9" s="11">
        <v>143874</v>
      </c>
      <c r="D9" s="25">
        <f t="shared" si="0"/>
        <v>4322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5">
      <c r="A10" s="10">
        <v>5</v>
      </c>
      <c r="B10" s="129">
        <v>107543</v>
      </c>
      <c r="C10" s="11">
        <v>105917</v>
      </c>
      <c r="D10" s="25">
        <f t="shared" si="0"/>
        <v>-1626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5">
      <c r="A11" s="10">
        <v>6</v>
      </c>
      <c r="B11" s="129">
        <v>84585</v>
      </c>
      <c r="C11" s="11">
        <v>78803</v>
      </c>
      <c r="D11" s="25">
        <f t="shared" si="0"/>
        <v>-5782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5">
      <c r="A12" s="10">
        <v>7</v>
      </c>
      <c r="B12" s="129">
        <v>91306</v>
      </c>
      <c r="C12" s="11">
        <v>89095</v>
      </c>
      <c r="D12" s="25">
        <f t="shared" si="0"/>
        <v>-2211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5">
      <c r="A13" s="10">
        <v>8</v>
      </c>
      <c r="B13" s="11">
        <v>137167</v>
      </c>
      <c r="C13" s="11">
        <v>135312</v>
      </c>
      <c r="D13" s="25">
        <f t="shared" si="0"/>
        <v>-1855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5">
      <c r="A14" s="10">
        <v>9</v>
      </c>
      <c r="B14" s="11">
        <v>137690</v>
      </c>
      <c r="C14" s="11">
        <v>134643</v>
      </c>
      <c r="D14" s="25">
        <f t="shared" si="0"/>
        <v>-3047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5">
      <c r="A15" s="10">
        <v>10</v>
      </c>
      <c r="B15" s="11">
        <v>128225</v>
      </c>
      <c r="C15" s="11">
        <v>130397</v>
      </c>
      <c r="D15" s="25">
        <f t="shared" si="0"/>
        <v>2172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5">
      <c r="A16" s="10">
        <v>11</v>
      </c>
      <c r="B16" s="11">
        <v>136545</v>
      </c>
      <c r="C16" s="11">
        <v>132866</v>
      </c>
      <c r="D16" s="25">
        <f t="shared" si="0"/>
        <v>-3679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5">
      <c r="A17" s="10">
        <v>12</v>
      </c>
      <c r="B17" s="11">
        <v>127883</v>
      </c>
      <c r="C17" s="11">
        <v>126132</v>
      </c>
      <c r="D17" s="25">
        <f t="shared" si="0"/>
        <v>-1751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5">
      <c r="A18" s="10">
        <v>13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5">
      <c r="A19" s="10">
        <v>14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5">
      <c r="A20" s="10">
        <v>15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5">
      <c r="A21" s="10">
        <v>16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5">
      <c r="A22" s="10">
        <v>17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5">
      <c r="A23" s="10">
        <v>18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5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5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5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5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5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5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5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5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5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5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5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5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5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10"/>
      <c r="B37" s="11">
        <f>SUM(B6:B36)</f>
        <v>1506380</v>
      </c>
      <c r="C37" s="11">
        <f>SUM(C6:C36)</f>
        <v>1485363</v>
      </c>
      <c r="D37" s="11">
        <f>SUM(D6:D36)</f>
        <v>-21017</v>
      </c>
      <c r="E37" s="10"/>
      <c r="F37" s="11"/>
      <c r="G37" s="11"/>
      <c r="H37" s="129"/>
      <c r="I37" s="268"/>
      <c r="J37" s="129"/>
      <c r="K37" s="129"/>
      <c r="L37" s="129"/>
      <c r="M37" s="10"/>
      <c r="N37" s="11"/>
      <c r="O37" s="11"/>
      <c r="P37" s="11"/>
    </row>
    <row r="38" spans="1:16" x14ac:dyDescent="0.25">
      <c r="A38" s="26"/>
      <c r="C38" s="14"/>
      <c r="E38" s="26"/>
      <c r="G38" s="14"/>
      <c r="H38" s="250"/>
      <c r="I38" s="269"/>
      <c r="J38" s="250"/>
      <c r="K38" s="270"/>
      <c r="L38" s="250"/>
      <c r="M38" s="26"/>
      <c r="O38" s="14"/>
    </row>
    <row r="39" spans="1:16" x14ac:dyDescent="0.25">
      <c r="A39" s="57">
        <v>37103</v>
      </c>
      <c r="C39" s="15"/>
      <c r="D39" s="479">
        <v>87070</v>
      </c>
      <c r="E39" s="57"/>
      <c r="G39" s="15"/>
      <c r="H39" s="51"/>
      <c r="I39" s="271"/>
      <c r="J39" s="250"/>
      <c r="K39" s="272"/>
      <c r="L39" s="51"/>
      <c r="M39" s="57"/>
      <c r="O39" s="15"/>
      <c r="P39" s="24"/>
    </row>
    <row r="40" spans="1:16" x14ac:dyDescent="0.25">
      <c r="A40" s="57">
        <v>37146</v>
      </c>
      <c r="C40" s="48"/>
      <c r="D40" s="25">
        <f>+D39+D37</f>
        <v>66053</v>
      </c>
      <c r="E40" s="57"/>
      <c r="G40" s="48"/>
      <c r="H40" s="131"/>
      <c r="I40" s="271"/>
      <c r="J40" s="250"/>
      <c r="K40" s="273"/>
      <c r="L40" s="131"/>
      <c r="M40" s="57"/>
      <c r="O40" s="48"/>
      <c r="P40" s="130"/>
    </row>
    <row r="41" spans="1:16" x14ac:dyDescent="0.25">
      <c r="C41" s="47"/>
      <c r="H41" s="250"/>
      <c r="I41" s="250"/>
      <c r="J41" s="250"/>
      <c r="K41" s="250"/>
      <c r="L41" s="250"/>
    </row>
    <row r="42" spans="1:16" x14ac:dyDescent="0.25">
      <c r="A42" s="57"/>
      <c r="C42" s="50"/>
      <c r="D42" s="25"/>
      <c r="H42" s="250"/>
      <c r="I42" s="250"/>
      <c r="J42" s="250"/>
      <c r="K42" s="250"/>
      <c r="L42" s="250"/>
    </row>
    <row r="43" spans="1:16" x14ac:dyDescent="0.25">
      <c r="A43" s="57"/>
      <c r="C43" s="50"/>
      <c r="H43" s="250"/>
      <c r="I43" s="250"/>
      <c r="J43" s="250"/>
      <c r="K43" s="250"/>
      <c r="L43" s="250"/>
    </row>
    <row r="44" spans="1:16" x14ac:dyDescent="0.25">
      <c r="A44" s="32" t="s">
        <v>158</v>
      </c>
      <c r="B44" s="32"/>
      <c r="C44" s="32"/>
      <c r="D44" s="47"/>
      <c r="H44" s="250"/>
      <c r="I44" s="250"/>
      <c r="J44" s="250"/>
      <c r="K44" s="250"/>
      <c r="L44" s="250"/>
    </row>
    <row r="45" spans="1:16" x14ac:dyDescent="0.25">
      <c r="A45" s="49">
        <f>+A39</f>
        <v>37103</v>
      </c>
      <c r="B45" s="32"/>
      <c r="C45" s="32"/>
      <c r="D45" s="480">
        <v>495759.6</v>
      </c>
    </row>
    <row r="46" spans="1:16" x14ac:dyDescent="0.25">
      <c r="A46" s="49">
        <f>+A40</f>
        <v>37146</v>
      </c>
      <c r="B46" s="32"/>
      <c r="C46" s="32"/>
      <c r="D46" s="406">
        <f>+D37*'by type_area'!J3</f>
        <v>-40772.979999999996</v>
      </c>
    </row>
    <row r="47" spans="1:16" x14ac:dyDescent="0.25">
      <c r="A47" s="32"/>
      <c r="B47" s="32"/>
      <c r="C47" s="32"/>
      <c r="D47" s="202">
        <f>+D46+D45</f>
        <v>454986.62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26</vt:i4>
      </vt:variant>
    </vt:vector>
  </HeadingPairs>
  <TitlesOfParts>
    <vt:vector size="61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2001-09-13T19:52:08Z</cp:lastPrinted>
  <dcterms:created xsi:type="dcterms:W3CDTF">2000-03-28T16:52:23Z</dcterms:created>
  <dcterms:modified xsi:type="dcterms:W3CDTF">2023-09-10T12:03:39Z</dcterms:modified>
</cp:coreProperties>
</file>