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firstSheet="1" activeTab="1"/>
    <workbookView xWindow="840" yWindow="480" windowWidth="10860" windowHeight="6408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type'!$A$2:$J$50</definedName>
    <definedName name="_xlnm.Print_Area" localSheetId="27">Calpine!$A$3:$D$41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3" i="80"/>
  <c r="H4" i="80"/>
  <c r="H5" i="80"/>
  <c r="B8" i="80"/>
  <c r="C8" i="80"/>
  <c r="D8" i="80"/>
  <c r="B9" i="80"/>
  <c r="C9" i="80"/>
  <c r="D9" i="80"/>
  <c r="B10" i="80"/>
  <c r="C10" i="80"/>
  <c r="D10" i="80"/>
  <c r="B11" i="80"/>
  <c r="C11" i="80"/>
  <c r="D11" i="80"/>
  <c r="B12" i="80"/>
  <c r="C12" i="80"/>
  <c r="D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B32" i="80"/>
  <c r="C32" i="80"/>
  <c r="D32" i="80"/>
  <c r="B33" i="80"/>
  <c r="C33" i="80"/>
  <c r="D33" i="80"/>
  <c r="B34" i="80"/>
  <c r="C34" i="80"/>
  <c r="D34" i="80"/>
  <c r="B35" i="80"/>
  <c r="C35" i="80"/>
  <c r="D35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B45" i="80"/>
  <c r="C45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B35" i="73"/>
  <c r="C35" i="73"/>
  <c r="D35" i="73"/>
  <c r="E35" i="73"/>
  <c r="F35" i="73"/>
  <c r="G35" i="73"/>
  <c r="H35" i="73"/>
  <c r="C36" i="73"/>
  <c r="H36" i="73"/>
  <c r="C37" i="73"/>
  <c r="H37" i="73"/>
  <c r="C38" i="73"/>
  <c r="H38" i="73"/>
  <c r="H39" i="73"/>
  <c r="J39" i="73"/>
  <c r="C40" i="73"/>
  <c r="G40" i="73"/>
  <c r="H40" i="73"/>
  <c r="J40" i="73"/>
  <c r="H50" i="73"/>
  <c r="H52" i="73"/>
  <c r="H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3" i="20"/>
  <c r="G64" i="20"/>
  <c r="H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B10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H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<sst xmlns="http://schemas.openxmlformats.org/spreadsheetml/2006/main" count="589" uniqueCount="170">
  <si>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</si>
  <si>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</si>
  <si>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</si>
  <si>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</si>
  <si>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</si>
  <si>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</si>
  <si>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</si>
  <si>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</si>
  <si>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</si>
  <si>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</si>
  <si>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</si>
  <si>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</si>
  <si>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</si>
  <si>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</si>
  <si>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</si>
  <si>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</si>
  <si>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</si>
  <si>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</si>
  <si>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</si>
  <si>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</si>
  <si>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</si>
  <si>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</si>
  <si>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</si>
  <si>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</si>
  <si>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</si>
  <si>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</si>
  <si>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</si>
  <si>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</si>
  <si>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</si>
  <si>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</si>
  <si>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</si>
  <si>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</si>
  <si>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</si>
  <si>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</si>
  <si>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</si>
  <si>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</si>
  <si>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</si>
  <si>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</si>
  <si>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</si>
  <si>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</si>
  <si>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</si>
  <si>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</si>
  <si>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</si>
  <si>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</si>
  <si>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</si>
  <si>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</si>
  <si>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</si>
  <si>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</si>
  <si>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</si>
  <si>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</si>
  <si>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</si>
  <si>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</si>
  <si>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</si>
  <si>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</si>
  <si>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</si>
  <si>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</si>
  <si>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</si>
  <si>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</si>
  <si>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</si>
  <si>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</si>
  <si>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</si>
  <si>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</si>
  <si>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</si>
  <si>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</si>
  <si>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</si>
  <si>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</si>
  <si>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</si>
  <si>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</si>
  <si>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</si>
  <si>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</si>
  <si>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</si>
  <si>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</si>
  <si>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</si>
  <si>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</si>
  <si>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</si>
  <si>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</si>
  <si>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</si>
  <si>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</si>
  <si>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</si>
  <si>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</si>
  <si>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</si>
  <si>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</si>
  <si>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</si>
  <si>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</si>
  <si>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</si>
  <si>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</si>
  <si>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</si>
  <si>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</si>
  <si>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</si>
  <si>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</si>
  <si>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</si>
  <si>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</si>
  <si>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</si>
  <si>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</si>
  <si>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</si>
  <si>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</si>
  <si>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</si>
  <si>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</si>
  <si>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</si>
  <si>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</si>
  <si>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</si>
  <si>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</si>
  <si>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</si>
  <si>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</si>
  <si>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</si>
  <si>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</si>
  <si>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</si>
  <si>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</si>
  <si>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</si>
  <si>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</si>
  <si>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</si>
  <si>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</si>
  <si>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</si>
  <si>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</si>
  <si>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</si>
  <si>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</si>
  <si>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</si>
  <si>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</si>
  <si>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</si>
  <si>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</si>
  <si>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</si>
  <si>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</si>
  <si>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</si>
  <si>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</si>
  <si>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</si>
  <si>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</si>
  <si>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</si>
  <si>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</si>
  <si>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</si>
  <si>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</si>
  <si>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</si>
  <si>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</si>
  <si>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</si>
  <si>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</si>
  <si>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</si>
  <si>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</si>
  <si>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</si>
  <si>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</si>
  <si>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</si>
  <si>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</si>
  <si>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</si>
  <si>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</si>
  <si>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</si>
  <si>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</si>
  <si>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</si>
  <si>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</si>
  <si>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</si>
  <si>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</si>
  <si>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</si>
  <si>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</si>
  <si>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</si>
  <si>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</si>
  <si>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</si>
  <si>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Net $ valued/volumetric</t>
  </si>
  <si>
    <t>Milagro, Ignacio, Valverde, Kutz</t>
  </si>
  <si>
    <t>Zia and Maljamar</t>
  </si>
  <si>
    <t>Ignacio, Valverde, Kutz, and Milagro</t>
  </si>
  <si>
    <t>6,000/day planned makeup during 7/01</t>
  </si>
  <si>
    <t>5,000/DAY scheduled for makeup</t>
  </si>
  <si>
    <t>working on 10,000/d to sell</t>
  </si>
  <si>
    <t>possible cashout</t>
  </si>
  <si>
    <t>6,000/d being received in payback</t>
  </si>
  <si>
    <t>after 19th we will pay back</t>
  </si>
  <si>
    <t>balance is cashed out monthly</t>
  </si>
  <si>
    <t>2/3000 per day to be paid back beginning 7/14/01</t>
  </si>
  <si>
    <t>6/30/01 balance of $887,643.73 invoiced</t>
  </si>
  <si>
    <t>3,000/d scheduled makeup from 7/12 - 7/18</t>
  </si>
  <si>
    <t>Laura Giambro</t>
  </si>
  <si>
    <t>Positive=due Transwestern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</si>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</sst>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7" fontId="9" fillId="0" borderId="0" xfId="0" applyNumberFormat="1" applyFont="1" applyFill="1" applyBorder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6" fillId="0" borderId="0" xfId="0" applyFont="1"/>
    <xf numFmtId="5" fontId="36" fillId="0" borderId="0" xfId="0" applyNumberFormat="1" applyFont="1" applyAlignment="1">
      <alignment horizontal="right"/>
    </xf>
    <xf numFmtId="37" fontId="36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7" fillId="0" borderId="0" xfId="1" applyNumberFormat="1" applyFont="1" applyFill="1"/>
    <xf numFmtId="0" fontId="20" fillId="0" borderId="0" xfId="0" applyFont="1"/>
    <xf numFmtId="0" fontId="36" fillId="0" borderId="0" xfId="0" applyFont="1" applyAlignment="1">
      <alignment horizontal="center"/>
    </xf>
    <xf numFmtId="43" fontId="0" fillId="0" borderId="0" xfId="1" applyFont="1"/>
    <xf numFmtId="166" fontId="38" fillId="0" borderId="1" xfId="1" applyNumberFormat="1" applyFont="1" applyFill="1" applyBorder="1"/>
    <xf numFmtId="37" fontId="38" fillId="0" borderId="0" xfId="1" applyNumberFormat="1" applyFont="1" applyFill="1"/>
    <xf numFmtId="37" fontId="38" fillId="0" borderId="0" xfId="1" applyNumberFormat="1" applyFont="1" applyFill="1" applyBorder="1"/>
    <xf numFmtId="5" fontId="38" fillId="0" borderId="1" xfId="0" applyNumberFormat="1" applyFont="1" applyFill="1" applyBorder="1"/>
    <xf numFmtId="166" fontId="38" fillId="0" borderId="0" xfId="1" applyNumberFormat="1" applyFont="1" applyFill="1" applyBorder="1"/>
    <xf numFmtId="7" fontId="38" fillId="0" borderId="1" xfId="0" applyNumberFormat="1" applyFont="1" applyFill="1" applyBorder="1"/>
    <xf numFmtId="5" fontId="38" fillId="0" borderId="0" xfId="1" applyNumberFormat="1" applyFont="1" applyFill="1"/>
    <xf numFmtId="7" fontId="38" fillId="0" borderId="0" xfId="1" applyNumberFormat="1" applyFont="1" applyFill="1"/>
    <xf numFmtId="166" fontId="38" fillId="0" borderId="0" xfId="1" applyNumberFormat="1" applyFont="1" applyFill="1"/>
    <xf numFmtId="44" fontId="38" fillId="0" borderId="0" xfId="2" applyFont="1" applyFill="1"/>
    <xf numFmtId="7" fontId="39" fillId="0" borderId="1" xfId="1" applyNumberFormat="1" applyFont="1" applyFill="1" applyBorder="1"/>
    <xf numFmtId="192" fontId="38" fillId="0" borderId="0" xfId="0" applyNumberFormat="1" applyFont="1" applyFill="1"/>
    <xf numFmtId="5" fontId="38" fillId="0" borderId="0" xfId="0" applyNumberFormat="1" applyFont="1" applyFill="1"/>
    <xf numFmtId="7" fontId="38" fillId="0" borderId="0" xfId="0" applyNumberFormat="1" applyFont="1" applyFill="1"/>
    <xf numFmtId="5" fontId="38" fillId="0" borderId="0" xfId="0" applyNumberFormat="1" applyFont="1" applyFill="1" applyAlignment="1">
      <alignment horizontal="left" indent="2"/>
    </xf>
    <xf numFmtId="5" fontId="38" fillId="0" borderId="0" xfId="1" applyNumberFormat="1" applyFont="1" applyFill="1" applyBorder="1"/>
    <xf numFmtId="166" fontId="38" fillId="0" borderId="1" xfId="0" applyNumberFormat="1" applyFont="1" applyFill="1" applyBorder="1"/>
    <xf numFmtId="5" fontId="38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14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40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5" fontId="6" fillId="0" borderId="0" xfId="0" applyNumberFormat="1" applyFont="1" applyAlignment="1">
      <alignment horizontal="right"/>
    </xf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6" fillId="0" borderId="0" xfId="1" applyNumberFormat="1" applyFont="1" applyAlignment="1"/>
    <xf numFmtId="37" fontId="9" fillId="0" borderId="1" xfId="1" applyNumberFormat="1" applyFont="1" applyBorder="1" applyAlignment="1"/>
    <xf numFmtId="166" fontId="9" fillId="0" borderId="3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2.96</v>
          </cell>
          <cell r="K39">
            <v>2.42</v>
          </cell>
          <cell r="M39">
            <v>2.77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  <sheetView workbookViewId="1"/>
    <sheetView workbookViewId="2"/>
    <sheetView workbookViewId="3">
      <selection activeCell="G9" sqref="G9"/>
    </sheetView>
  </sheetViews>
  <sheetFormatPr defaultRowHeight="13.2" x14ac:dyDescent="0.25"/>
  <cols>
    <col min="1" max="1" width="15.6640625" style="296" customWidth="1"/>
    <col min="2" max="2" width="9.33203125" style="253" bestFit="1" customWidth="1"/>
    <col min="3" max="3" width="8.88671875" style="297" customWidth="1"/>
    <col min="4" max="4" width="5.109375" bestFit="1" customWidth="1"/>
    <col min="5" max="5" width="11.109375" bestFit="1" customWidth="1"/>
    <col min="6" max="6" width="15.109375" customWidth="1"/>
    <col min="10" max="10" width="12.6640625" customWidth="1"/>
  </cols>
  <sheetData>
    <row r="1" spans="1:20" ht="13.8" x14ac:dyDescent="0.25">
      <c r="A1" s="369"/>
    </row>
    <row r="2" spans="1:20" ht="20.100000000000001" customHeight="1" x14ac:dyDescent="0.25">
      <c r="A2" s="369" t="s">
        <v>147</v>
      </c>
      <c r="D2" s="7"/>
      <c r="G2" s="415" t="s">
        <v>81</v>
      </c>
      <c r="H2" s="391"/>
    </row>
    <row r="3" spans="1:20" ht="15" customHeight="1" x14ac:dyDescent="0.25">
      <c r="D3" s="7"/>
      <c r="G3" s="301" t="s">
        <v>30</v>
      </c>
      <c r="H3" s="390">
        <f>+'[1]0701'!$K$39</f>
        <v>2.42</v>
      </c>
    </row>
    <row r="4" spans="1:20" ht="15" customHeight="1" x14ac:dyDescent="0.25">
      <c r="A4" s="34" t="s">
        <v>168</v>
      </c>
      <c r="C4" s="34" t="s">
        <v>5</v>
      </c>
      <c r="D4" s="7"/>
      <c r="G4" s="302" t="s">
        <v>31</v>
      </c>
      <c r="H4" s="303">
        <f>+'[1]0701'!$M$39</f>
        <v>2.77</v>
      </c>
    </row>
    <row r="5" spans="1:20" ht="15" customHeight="1" x14ac:dyDescent="0.25">
      <c r="D5" s="7"/>
      <c r="G5" s="301" t="s">
        <v>120</v>
      </c>
      <c r="H5" s="390">
        <f>+'[1]0701'!$H$39</f>
        <v>2.96</v>
      </c>
    </row>
    <row r="6" spans="1:20" ht="18" customHeight="1" x14ac:dyDescent="0.25"/>
    <row r="7" spans="1:20" ht="12.9" customHeight="1" x14ac:dyDescent="0.25">
      <c r="A7" s="359" t="s">
        <v>92</v>
      </c>
      <c r="B7" s="360" t="s">
        <v>17</v>
      </c>
      <c r="C7" s="361" t="s">
        <v>0</v>
      </c>
      <c r="D7" s="370" t="s">
        <v>169</v>
      </c>
      <c r="E7" s="359" t="s">
        <v>93</v>
      </c>
      <c r="F7" s="362" t="s">
        <v>104</v>
      </c>
      <c r="G7" s="300" t="s">
        <v>101</v>
      </c>
    </row>
    <row r="8" spans="1:20" ht="15" customHeight="1" x14ac:dyDescent="0.25">
      <c r="A8" s="392" t="s">
        <v>90</v>
      </c>
      <c r="B8" s="393">
        <f>+NNG!$D$24</f>
        <v>838400.95</v>
      </c>
      <c r="C8" s="421">
        <f>+B8/$H$4</f>
        <v>302671.82310469315</v>
      </c>
      <c r="D8" s="416">
        <f>+NNG!A24</f>
        <v>37090</v>
      </c>
      <c r="E8" s="206" t="s">
        <v>88</v>
      </c>
      <c r="F8" s="206" t="s">
        <v>103</v>
      </c>
      <c r="G8" s="32" t="s">
        <v>159</v>
      </c>
      <c r="H8" s="70"/>
      <c r="I8" s="32"/>
    </row>
    <row r="9" spans="1:20" ht="15" customHeight="1" x14ac:dyDescent="0.25">
      <c r="A9" s="254" t="s">
        <v>24</v>
      </c>
      <c r="B9" s="395">
        <f>+'Red C'!$F$43</f>
        <v>644848.80000000005</v>
      </c>
      <c r="C9" s="421">
        <f>+B9/$H$3</f>
        <v>266466.44628099177</v>
      </c>
      <c r="D9" s="416">
        <f>+'Red C'!B43</f>
        <v>37090</v>
      </c>
      <c r="E9" s="32" t="s">
        <v>88</v>
      </c>
      <c r="F9" s="32" t="s">
        <v>118</v>
      </c>
      <c r="G9" s="32"/>
      <c r="H9" s="32"/>
      <c r="I9" s="32"/>
    </row>
    <row r="10" spans="1:20" ht="15" customHeight="1" x14ac:dyDescent="0.25">
      <c r="A10" s="254" t="s">
        <v>83</v>
      </c>
      <c r="B10" s="393">
        <f>+Conoco!$F$41</f>
        <v>547262.94999999995</v>
      </c>
      <c r="C10" s="421">
        <f t="shared" ref="C10:C21" si="0">+B10/$H$4</f>
        <v>197567.85198555954</v>
      </c>
      <c r="D10" s="416">
        <f>+Conoco!A41</f>
        <v>37090</v>
      </c>
      <c r="E10" s="32" t="s">
        <v>88</v>
      </c>
      <c r="F10" s="32" t="s">
        <v>116</v>
      </c>
      <c r="G10" s="32" t="s">
        <v>155</v>
      </c>
      <c r="H10" s="32"/>
      <c r="I10" s="32"/>
    </row>
    <row r="11" spans="1:20" ht="15" customHeight="1" x14ac:dyDescent="0.25">
      <c r="A11" s="254" t="s">
        <v>110</v>
      </c>
      <c r="B11" s="393">
        <f>+KN_Westar!F41</f>
        <v>524235.18999999994</v>
      </c>
      <c r="C11" s="421">
        <f t="shared" si="0"/>
        <v>189254.58122743681</v>
      </c>
      <c r="D11" s="417">
        <f>+KN_Westar!A41</f>
        <v>37090</v>
      </c>
      <c r="E11" s="32" t="s">
        <v>88</v>
      </c>
      <c r="F11" s="32" t="s">
        <v>103</v>
      </c>
      <c r="G11" s="32"/>
      <c r="H11" s="32"/>
      <c r="I11" s="32"/>
    </row>
    <row r="12" spans="1:20" ht="15" customHeight="1" x14ac:dyDescent="0.25">
      <c r="A12" s="254" t="s">
        <v>3</v>
      </c>
      <c r="B12" s="393">
        <f>+'Amoco Abo'!$F$43</f>
        <v>505133.08</v>
      </c>
      <c r="C12" s="421">
        <f t="shared" si="0"/>
        <v>182358.51263537907</v>
      </c>
      <c r="D12" s="417">
        <f>+'Amoco Abo'!A43</f>
        <v>37090</v>
      </c>
      <c r="E12" s="32" t="s">
        <v>88</v>
      </c>
      <c r="F12" s="32" t="s">
        <v>118</v>
      </c>
      <c r="G12" s="32" t="s">
        <v>160</v>
      </c>
      <c r="H12" s="32"/>
      <c r="I12" s="32"/>
      <c r="T12" s="268"/>
    </row>
    <row r="13" spans="1:20" ht="15" customHeight="1" x14ac:dyDescent="0.25">
      <c r="A13" s="254" t="s">
        <v>85</v>
      </c>
      <c r="B13" s="393">
        <f>+PNM!$D$23</f>
        <v>437920.28</v>
      </c>
      <c r="C13" s="421">
        <f t="shared" si="0"/>
        <v>158093.96389891699</v>
      </c>
      <c r="D13" s="417">
        <f>+PNM!A23</f>
        <v>37090</v>
      </c>
      <c r="E13" s="32" t="s">
        <v>88</v>
      </c>
      <c r="F13" s="32" t="s">
        <v>118</v>
      </c>
      <c r="G13" s="32" t="s">
        <v>161</v>
      </c>
      <c r="H13" s="32"/>
      <c r="I13" s="32"/>
      <c r="T13" s="268"/>
    </row>
    <row r="14" spans="1:20" ht="15" customHeight="1" x14ac:dyDescent="0.25">
      <c r="A14" s="254" t="s">
        <v>131</v>
      </c>
      <c r="B14" s="393">
        <f>+DEFS!H54</f>
        <v>388202.75</v>
      </c>
      <c r="C14" s="422">
        <f t="shared" si="0"/>
        <v>140145.39711191336</v>
      </c>
      <c r="D14" s="417">
        <f>+DEFS!A40</f>
        <v>37090</v>
      </c>
      <c r="E14" s="32" t="s">
        <v>88</v>
      </c>
      <c r="F14" s="32" t="s">
        <v>103</v>
      </c>
      <c r="G14" s="32" t="s">
        <v>121</v>
      </c>
      <c r="H14" s="32"/>
      <c r="I14" s="32"/>
    </row>
    <row r="15" spans="1:20" ht="15" customHeight="1" x14ac:dyDescent="0.25">
      <c r="A15" s="254" t="s">
        <v>2</v>
      </c>
      <c r="B15" s="393">
        <f>+mewborne!$J$43</f>
        <v>376903.56</v>
      </c>
      <c r="C15" s="421">
        <f t="shared" si="0"/>
        <v>136066.26714801445</v>
      </c>
      <c r="D15" s="417">
        <f>+mewborne!A43</f>
        <v>37090</v>
      </c>
      <c r="E15" s="32" t="s">
        <v>88</v>
      </c>
      <c r="F15" s="32" t="s">
        <v>102</v>
      </c>
      <c r="G15" s="32"/>
      <c r="H15" s="32"/>
      <c r="I15" s="32"/>
    </row>
    <row r="16" spans="1:20" ht="15" customHeight="1" x14ac:dyDescent="0.25">
      <c r="A16" s="254" t="s">
        <v>113</v>
      </c>
      <c r="B16" s="393">
        <f>+CIG!D43</f>
        <v>326755</v>
      </c>
      <c r="C16" s="421">
        <f t="shared" si="0"/>
        <v>117962.09386281588</v>
      </c>
      <c r="D16" s="417">
        <f>+CIG!A43</f>
        <v>37090</v>
      </c>
      <c r="E16" s="32" t="s">
        <v>88</v>
      </c>
      <c r="F16" s="32" t="s">
        <v>116</v>
      </c>
      <c r="G16" s="32"/>
      <c r="H16" s="32"/>
      <c r="I16" s="32"/>
    </row>
    <row r="17" spans="1:9" ht="15" customHeight="1" x14ac:dyDescent="0.25">
      <c r="A17" s="254" t="s">
        <v>133</v>
      </c>
      <c r="B17" s="393">
        <f>+PGETX!$H$39</f>
        <v>314543.35999999999</v>
      </c>
      <c r="C17" s="421">
        <f t="shared" si="0"/>
        <v>113553.55956678699</v>
      </c>
      <c r="D17" s="417">
        <f>+PGETX!E39</f>
        <v>37090</v>
      </c>
      <c r="E17" s="32" t="s">
        <v>88</v>
      </c>
      <c r="F17" s="32" t="s">
        <v>105</v>
      </c>
      <c r="G17" s="32"/>
      <c r="H17" s="32"/>
      <c r="I17" s="32"/>
    </row>
    <row r="18" spans="1:9" ht="15" customHeight="1" x14ac:dyDescent="0.25">
      <c r="A18" s="254" t="s">
        <v>106</v>
      </c>
      <c r="B18" s="393">
        <f>+EOG!J41</f>
        <v>245024.72999999998</v>
      </c>
      <c r="C18" s="421">
        <f t="shared" si="0"/>
        <v>88456.581227436822</v>
      </c>
      <c r="D18" s="416">
        <f>+EOG!A41</f>
        <v>37090</v>
      </c>
      <c r="E18" s="32" t="s">
        <v>88</v>
      </c>
      <c r="F18" s="32" t="s">
        <v>105</v>
      </c>
      <c r="G18" s="32"/>
      <c r="H18" s="32"/>
      <c r="I18" s="32"/>
    </row>
    <row r="19" spans="1:9" ht="15" customHeight="1" x14ac:dyDescent="0.25">
      <c r="A19" s="254" t="s">
        <v>137</v>
      </c>
      <c r="B19" s="393">
        <f>+SidR!D41</f>
        <v>63947.839999999997</v>
      </c>
      <c r="C19" s="421">
        <f t="shared" si="0"/>
        <v>23085.862815884477</v>
      </c>
      <c r="D19" s="417">
        <f>+SidR!A41</f>
        <v>37090</v>
      </c>
      <c r="E19" s="32" t="s">
        <v>88</v>
      </c>
      <c r="F19" s="32" t="s">
        <v>105</v>
      </c>
      <c r="G19" s="32" t="s">
        <v>165</v>
      </c>
      <c r="H19" s="32"/>
      <c r="I19" s="32"/>
    </row>
    <row r="20" spans="1:9" ht="15" customHeight="1" x14ac:dyDescent="0.25">
      <c r="A20" s="392" t="s">
        <v>82</v>
      </c>
      <c r="B20" s="393">
        <f>+Agave!$D$24</f>
        <v>62476.97</v>
      </c>
      <c r="C20" s="422">
        <f t="shared" si="0"/>
        <v>22554.862815884477</v>
      </c>
      <c r="D20" s="416">
        <f>+Agave!A24</f>
        <v>37090</v>
      </c>
      <c r="E20" s="206" t="s">
        <v>88</v>
      </c>
      <c r="F20" s="206" t="s">
        <v>105</v>
      </c>
      <c r="G20" s="32"/>
      <c r="H20" s="32"/>
      <c r="I20" s="32"/>
    </row>
    <row r="21" spans="1:9" ht="15" customHeight="1" x14ac:dyDescent="0.25">
      <c r="A21" s="254" t="s">
        <v>74</v>
      </c>
      <c r="B21" s="395">
        <f>+transcol!$D$43</f>
        <v>14952.129999999997</v>
      </c>
      <c r="C21" s="421">
        <f t="shared" si="0"/>
        <v>5397.8808664259914</v>
      </c>
      <c r="D21" s="417">
        <f>+transcol!A43</f>
        <v>37090</v>
      </c>
      <c r="E21" s="32" t="s">
        <v>88</v>
      </c>
      <c r="F21" s="32" t="s">
        <v>118</v>
      </c>
      <c r="G21" s="32"/>
      <c r="H21" s="32"/>
      <c r="I21" s="32"/>
    </row>
    <row r="22" spans="1:9" ht="15" customHeight="1" x14ac:dyDescent="0.25">
      <c r="A22" s="392" t="s">
        <v>132</v>
      </c>
      <c r="B22" s="393">
        <f>+Calpine!D41</f>
        <v>11220.039999999979</v>
      </c>
      <c r="C22" s="422">
        <f>+B22/$H$4</f>
        <v>4050.5559566786928</v>
      </c>
      <c r="D22" s="416">
        <f>+Calpine!A41</f>
        <v>37090</v>
      </c>
      <c r="E22" s="206" t="s">
        <v>88</v>
      </c>
      <c r="F22" s="206" t="s">
        <v>102</v>
      </c>
      <c r="G22" s="400"/>
      <c r="H22" s="32"/>
      <c r="I22" s="32"/>
    </row>
    <row r="23" spans="1:9" ht="15" customHeight="1" x14ac:dyDescent="0.25">
      <c r="A23" s="254" t="s">
        <v>112</v>
      </c>
      <c r="B23" s="393">
        <f>+Continental!F43</f>
        <v>-14809.08</v>
      </c>
      <c r="C23" s="422">
        <f>+B23/$H$4</f>
        <v>-5346.2382671480145</v>
      </c>
      <c r="D23" s="417">
        <f>+Continental!A43</f>
        <v>37090</v>
      </c>
      <c r="E23" s="32" t="s">
        <v>88</v>
      </c>
      <c r="F23" s="32" t="s">
        <v>118</v>
      </c>
      <c r="G23" s="32"/>
      <c r="H23" s="32"/>
      <c r="I23" s="32"/>
    </row>
    <row r="24" spans="1:9" ht="15" customHeight="1" x14ac:dyDescent="0.25">
      <c r="A24" s="392" t="s">
        <v>98</v>
      </c>
      <c r="B24" s="393">
        <f>+burlington!D42</f>
        <v>-17494.18</v>
      </c>
      <c r="C24" s="421">
        <f>+B24/$H$3</f>
        <v>-7229</v>
      </c>
      <c r="D24" s="416">
        <f>+burlington!A42</f>
        <v>37090</v>
      </c>
      <c r="E24" s="206" t="s">
        <v>88</v>
      </c>
      <c r="F24" s="32" t="s">
        <v>116</v>
      </c>
      <c r="G24" s="32" t="s">
        <v>163</v>
      </c>
      <c r="H24" s="32"/>
      <c r="I24" s="32"/>
    </row>
    <row r="25" spans="1:9" ht="15" customHeight="1" x14ac:dyDescent="0.25">
      <c r="A25" s="254" t="s">
        <v>135</v>
      </c>
      <c r="B25" s="393">
        <f>+EPFS!D41</f>
        <v>-168051.1</v>
      </c>
      <c r="C25" s="422">
        <f>+B25/$H$5</f>
        <v>-56774.020270270274</v>
      </c>
      <c r="D25" s="416">
        <f>+EPFS!A41</f>
        <v>37090</v>
      </c>
      <c r="E25" s="32" t="s">
        <v>88</v>
      </c>
      <c r="F25" s="32" t="s">
        <v>105</v>
      </c>
      <c r="G25" s="32"/>
      <c r="H25" s="32"/>
      <c r="I25" s="32"/>
    </row>
    <row r="26" spans="1:9" ht="15" customHeight="1" x14ac:dyDescent="0.25">
      <c r="A26" s="254" t="s">
        <v>146</v>
      </c>
      <c r="B26" s="393">
        <f>+'Citizens-Griffith'!D41</f>
        <v>-215174.39999999999</v>
      </c>
      <c r="C26" s="421">
        <f>+B26/$H$4</f>
        <v>-77680.288808664263</v>
      </c>
      <c r="D26" s="416">
        <f>+'Citizens-Griffith'!A41</f>
        <v>37090</v>
      </c>
      <c r="E26" s="32" t="s">
        <v>88</v>
      </c>
      <c r="F26" s="32" t="s">
        <v>102</v>
      </c>
      <c r="G26" s="32" t="s">
        <v>162</v>
      </c>
      <c r="H26" s="32"/>
      <c r="I26" s="32"/>
    </row>
    <row r="27" spans="1:9" ht="15" customHeight="1" x14ac:dyDescent="0.25">
      <c r="A27" s="254" t="s">
        <v>139</v>
      </c>
      <c r="B27" s="393">
        <f>+'NS Steel'!D41</f>
        <v>-389619.1</v>
      </c>
      <c r="C27" s="421">
        <f>+B27/$H$4</f>
        <v>-140656.71480144403</v>
      </c>
      <c r="D27" s="417">
        <f>+'NS Steel'!A41</f>
        <v>37090</v>
      </c>
      <c r="E27" s="32" t="s">
        <v>88</v>
      </c>
      <c r="F27" s="32" t="s">
        <v>103</v>
      </c>
      <c r="G27" s="400"/>
      <c r="H27" s="32"/>
      <c r="I27" s="32"/>
    </row>
    <row r="28" spans="1:9" ht="15" customHeight="1" x14ac:dyDescent="0.25">
      <c r="A28" s="392" t="s">
        <v>141</v>
      </c>
      <c r="B28" s="397">
        <f>+Citizens!D18</f>
        <v>-878957.71000000008</v>
      </c>
      <c r="C28" s="423">
        <f>+B28/$H$4</f>
        <v>-317313.25270758127</v>
      </c>
      <c r="D28" s="416">
        <f>+Citizens!A18</f>
        <v>37090</v>
      </c>
      <c r="E28" s="206" t="s">
        <v>88</v>
      </c>
      <c r="F28" s="206" t="s">
        <v>102</v>
      </c>
      <c r="G28" s="400"/>
      <c r="H28" s="32"/>
      <c r="I28" s="32"/>
    </row>
    <row r="29" spans="1:9" ht="15" customHeight="1" x14ac:dyDescent="0.25">
      <c r="A29" s="32" t="s">
        <v>151</v>
      </c>
      <c r="B29" s="47">
        <f>SUM(B8:B28)</f>
        <v>3617722.0600000005</v>
      </c>
      <c r="C29" s="424">
        <f>SUM(C8:C28)</f>
        <v>1342686.7256497107</v>
      </c>
      <c r="D29" s="205"/>
      <c r="E29" s="32"/>
      <c r="F29" s="32"/>
      <c r="G29" s="32"/>
      <c r="H29" s="32"/>
      <c r="I29" s="32"/>
    </row>
    <row r="30" spans="1:9" ht="15.9" customHeight="1" x14ac:dyDescent="0.25">
      <c r="A30" s="392"/>
      <c r="B30" s="393"/>
      <c r="C30" s="421"/>
      <c r="D30" s="394"/>
      <c r="E30" s="206"/>
      <c r="F30" s="206"/>
      <c r="G30" s="32"/>
      <c r="H30" s="32"/>
      <c r="I30" s="32"/>
    </row>
    <row r="31" spans="1:9" ht="12.9" customHeight="1" x14ac:dyDescent="0.25">
      <c r="A31" s="418" t="s">
        <v>92</v>
      </c>
      <c r="B31" s="419" t="s">
        <v>17</v>
      </c>
      <c r="C31" s="425" t="s">
        <v>0</v>
      </c>
      <c r="D31" s="370" t="s">
        <v>169</v>
      </c>
      <c r="E31" s="418" t="s">
        <v>93</v>
      </c>
      <c r="F31" s="420" t="s">
        <v>104</v>
      </c>
      <c r="G31" s="400" t="s">
        <v>101</v>
      </c>
      <c r="H31" s="32"/>
      <c r="I31" s="32"/>
    </row>
    <row r="32" spans="1:9" ht="15" customHeight="1" x14ac:dyDescent="0.25">
      <c r="A32" s="392" t="s">
        <v>29</v>
      </c>
      <c r="B32" s="393">
        <f>+C32*$H$3</f>
        <v>778572.08</v>
      </c>
      <c r="C32" s="421">
        <f>+williams!J40</f>
        <v>321724</v>
      </c>
      <c r="D32" s="416">
        <f>+williams!A40</f>
        <v>37090</v>
      </c>
      <c r="E32" s="206" t="s">
        <v>87</v>
      </c>
      <c r="F32" s="206" t="s">
        <v>167</v>
      </c>
      <c r="G32" s="32" t="s">
        <v>156</v>
      </c>
      <c r="H32" s="32"/>
      <c r="I32" s="32"/>
    </row>
    <row r="33" spans="1:9" ht="15" customHeight="1" x14ac:dyDescent="0.25">
      <c r="A33" s="254" t="s">
        <v>33</v>
      </c>
      <c r="B33" s="393">
        <f>+C33*$H$4</f>
        <v>473786.34</v>
      </c>
      <c r="C33" s="422">
        <f>+SoCal!F40</f>
        <v>171042</v>
      </c>
      <c r="D33" s="417">
        <f>+SoCal!A40</f>
        <v>37090</v>
      </c>
      <c r="E33" s="32" t="s">
        <v>87</v>
      </c>
      <c r="F33" s="32" t="s">
        <v>105</v>
      </c>
      <c r="G33" s="32"/>
      <c r="H33" s="32"/>
      <c r="I33" s="32"/>
    </row>
    <row r="34" spans="1:9" ht="15" customHeight="1" x14ac:dyDescent="0.25">
      <c r="A34" s="254" t="s">
        <v>91</v>
      </c>
      <c r="B34" s="393">
        <f>+C34*$H$4</f>
        <v>383885.99</v>
      </c>
      <c r="C34" s="421">
        <f>+NGPL!F38</f>
        <v>138587</v>
      </c>
      <c r="D34" s="417">
        <f>+NGPL!A38</f>
        <v>37090</v>
      </c>
      <c r="E34" s="32" t="s">
        <v>87</v>
      </c>
      <c r="F34" s="32" t="s">
        <v>118</v>
      </c>
      <c r="G34" s="32" t="s">
        <v>158</v>
      </c>
      <c r="H34" s="32"/>
      <c r="I34" s="32"/>
    </row>
    <row r="35" spans="1:9" ht="15" customHeight="1" x14ac:dyDescent="0.25">
      <c r="A35" s="254" t="s">
        <v>97</v>
      </c>
      <c r="B35" s="393">
        <f>+C35*$H$4</f>
        <v>361955.9</v>
      </c>
      <c r="C35" s="421">
        <f>+Mojave!D40</f>
        <v>130670</v>
      </c>
      <c r="D35" s="417">
        <f>+Mojave!A40</f>
        <v>37090</v>
      </c>
      <c r="E35" s="32" t="s">
        <v>87</v>
      </c>
      <c r="F35" s="32" t="s">
        <v>103</v>
      </c>
      <c r="G35" s="32"/>
      <c r="H35" s="32"/>
      <c r="I35" s="32"/>
    </row>
    <row r="36" spans="1:9" ht="15" customHeight="1" x14ac:dyDescent="0.25">
      <c r="A36" s="254" t="s">
        <v>150</v>
      </c>
      <c r="B36" s="395">
        <f>+C36*$H$4</f>
        <v>245784.87</v>
      </c>
      <c r="C36" s="421">
        <f>+PEPL!D41</f>
        <v>88731</v>
      </c>
      <c r="D36" s="417">
        <f>+PEPL!A41</f>
        <v>37090</v>
      </c>
      <c r="E36" s="32" t="s">
        <v>87</v>
      </c>
      <c r="F36" s="32" t="s">
        <v>103</v>
      </c>
      <c r="G36" s="32" t="s">
        <v>149</v>
      </c>
      <c r="H36" s="32"/>
      <c r="I36" s="32"/>
    </row>
    <row r="37" spans="1:9" ht="15" customHeight="1" x14ac:dyDescent="0.25">
      <c r="A37" s="254" t="s">
        <v>34</v>
      </c>
      <c r="B37" s="393">
        <f>+'El Paso'!E38*summary!H3+'El Paso'!C38*summary!H4</f>
        <v>224466.51</v>
      </c>
      <c r="C37" s="421">
        <f>+'El Paso'!H38</f>
        <v>85448</v>
      </c>
      <c r="D37" s="417">
        <f>+'El Paso'!A38</f>
        <v>37090</v>
      </c>
      <c r="E37" s="32" t="s">
        <v>87</v>
      </c>
      <c r="F37" s="32" t="s">
        <v>103</v>
      </c>
      <c r="G37" s="32" t="s">
        <v>122</v>
      </c>
      <c r="H37" s="32"/>
      <c r="I37" s="32"/>
    </row>
    <row r="38" spans="1:9" ht="15" customHeight="1" x14ac:dyDescent="0.25">
      <c r="A38" s="254" t="s">
        <v>32</v>
      </c>
      <c r="B38" s="393">
        <f>+C38*$H$4</f>
        <v>185002.76</v>
      </c>
      <c r="C38" s="421">
        <f>+Lonestar!F42</f>
        <v>66788</v>
      </c>
      <c r="D38" s="416">
        <f>+Lonestar!B42</f>
        <v>37090</v>
      </c>
      <c r="E38" s="32" t="s">
        <v>87</v>
      </c>
      <c r="F38" s="32" t="s">
        <v>105</v>
      </c>
      <c r="G38" s="32" t="s">
        <v>166</v>
      </c>
      <c r="H38" s="32"/>
      <c r="I38" s="32"/>
    </row>
    <row r="39" spans="1:9" ht="15" customHeight="1" x14ac:dyDescent="0.25">
      <c r="A39" s="254" t="s">
        <v>6</v>
      </c>
      <c r="B39" s="393">
        <f>+C39*$H$3</f>
        <v>151085.44</v>
      </c>
      <c r="C39" s="421">
        <f>+Amoco!D40</f>
        <v>62432</v>
      </c>
      <c r="D39" s="417">
        <f>+Amoco!A40</f>
        <v>37090</v>
      </c>
      <c r="E39" s="32" t="s">
        <v>87</v>
      </c>
      <c r="F39" s="32" t="s">
        <v>118</v>
      </c>
      <c r="G39" s="32"/>
      <c r="H39" s="32"/>
      <c r="I39" s="32"/>
    </row>
    <row r="40" spans="1:9" ht="15" customHeight="1" x14ac:dyDescent="0.25">
      <c r="A40" s="254" t="s">
        <v>7</v>
      </c>
      <c r="B40" s="393">
        <f>+C40*$H$4</f>
        <v>84252.32</v>
      </c>
      <c r="C40" s="422">
        <f>+Oasis!D40</f>
        <v>30416</v>
      </c>
      <c r="D40" s="417">
        <f>+Oasis!B40</f>
        <v>37090</v>
      </c>
      <c r="E40" s="32" t="s">
        <v>87</v>
      </c>
      <c r="F40" s="32" t="s">
        <v>105</v>
      </c>
      <c r="G40" s="32"/>
      <c r="H40" s="32"/>
      <c r="I40" s="32"/>
    </row>
    <row r="41" spans="1:9" ht="15" customHeight="1" x14ac:dyDescent="0.25">
      <c r="A41" s="254" t="s">
        <v>117</v>
      </c>
      <c r="B41" s="393">
        <f>+C41*$H$4</f>
        <v>2686.9</v>
      </c>
      <c r="C41" s="422">
        <f>+'PG&amp;E'!D40</f>
        <v>970</v>
      </c>
      <c r="D41" s="417">
        <f>+'PG&amp;E'!A40</f>
        <v>37090</v>
      </c>
      <c r="E41" s="32" t="s">
        <v>87</v>
      </c>
      <c r="F41" s="32" t="s">
        <v>105</v>
      </c>
      <c r="G41" s="32"/>
      <c r="H41" s="32"/>
      <c r="I41" s="32"/>
    </row>
    <row r="42" spans="1:9" ht="15" customHeight="1" x14ac:dyDescent="0.25">
      <c r="A42" s="254" t="s">
        <v>1</v>
      </c>
      <c r="B42" s="397">
        <f>+C42*$H$3</f>
        <v>2553.1</v>
      </c>
      <c r="C42" s="423">
        <f>+NW!$F$41</f>
        <v>1055</v>
      </c>
      <c r="D42" s="416">
        <f>+NW!B41</f>
        <v>37090</v>
      </c>
      <c r="E42" s="32" t="s">
        <v>87</v>
      </c>
      <c r="F42" s="32" t="s">
        <v>118</v>
      </c>
      <c r="G42" s="32"/>
      <c r="H42" s="32"/>
      <c r="I42" s="32"/>
    </row>
    <row r="43" spans="1:9" ht="15" customHeight="1" x14ac:dyDescent="0.25">
      <c r="A43" s="32" t="s">
        <v>152</v>
      </c>
      <c r="B43" s="393">
        <f>SUM(B32:B42)</f>
        <v>2894032.21</v>
      </c>
      <c r="C43" s="422">
        <f>SUM(C32:C42)</f>
        <v>1097863</v>
      </c>
      <c r="D43" s="416"/>
      <c r="E43" s="32"/>
      <c r="F43" s="32"/>
      <c r="G43" s="32"/>
      <c r="H43" s="32"/>
      <c r="I43" s="32"/>
    </row>
    <row r="44" spans="1:9" ht="18" customHeight="1" x14ac:dyDescent="0.25">
      <c r="A44" s="32"/>
      <c r="B44" s="397"/>
      <c r="C44" s="426"/>
      <c r="D44" s="417"/>
      <c r="E44" s="32"/>
      <c r="F44" s="32"/>
      <c r="G44" s="32"/>
      <c r="H44" s="32"/>
      <c r="I44" s="32"/>
    </row>
    <row r="45" spans="1:9" ht="18" customHeight="1" thickBot="1" x14ac:dyDescent="0.3">
      <c r="A45" s="2" t="s">
        <v>153</v>
      </c>
      <c r="B45" s="402">
        <f>+B43+B29</f>
        <v>6511754.2700000005</v>
      </c>
      <c r="C45" s="427">
        <f>+C43+C29</f>
        <v>2440549.7256497107</v>
      </c>
      <c r="D45" s="205"/>
      <c r="E45" s="32"/>
      <c r="F45" s="32"/>
      <c r="G45" s="32"/>
      <c r="H45" s="32"/>
      <c r="I45" s="32"/>
    </row>
    <row r="46" spans="1:9" ht="13.8" thickTop="1" x14ac:dyDescent="0.25">
      <c r="A46" s="32"/>
      <c r="B46" s="47"/>
      <c r="C46" s="424"/>
      <c r="D46" s="205"/>
      <c r="E46" s="32"/>
      <c r="F46" s="32"/>
      <c r="G46" s="32"/>
      <c r="H46" s="32"/>
      <c r="I46" s="32"/>
    </row>
    <row r="47" spans="1:9" x14ac:dyDescent="0.25">
      <c r="A47" s="32"/>
      <c r="B47" s="47"/>
      <c r="C47" s="428"/>
      <c r="D47" s="32"/>
      <c r="E47" s="32"/>
      <c r="F47" s="32"/>
      <c r="G47" s="32"/>
      <c r="H47" s="32"/>
      <c r="I47" s="32"/>
    </row>
    <row r="48" spans="1:9" x14ac:dyDescent="0.25">
      <c r="A48" s="32"/>
      <c r="B48" s="47"/>
      <c r="C48" s="69"/>
      <c r="D48" s="32"/>
      <c r="E48" s="32"/>
      <c r="F48" s="32"/>
      <c r="G48" s="32"/>
      <c r="H48" s="32"/>
      <c r="I48" s="32"/>
    </row>
    <row r="49" spans="1:9" x14ac:dyDescent="0.25">
      <c r="A49" s="32"/>
      <c r="B49" s="47"/>
      <c r="C49" s="69"/>
      <c r="D49" s="32"/>
      <c r="E49" s="32"/>
      <c r="F49" s="32"/>
      <c r="G49" s="32"/>
      <c r="H49" s="32"/>
      <c r="I49" s="32"/>
    </row>
    <row r="50" spans="1:9" x14ac:dyDescent="0.25">
      <c r="A50" s="2" t="s">
        <v>95</v>
      </c>
      <c r="B50" s="47"/>
      <c r="C50" s="69"/>
      <c r="D50" s="32"/>
      <c r="E50" s="32"/>
      <c r="F50" s="32"/>
      <c r="G50" s="32"/>
      <c r="H50" s="32"/>
      <c r="I50" s="32"/>
    </row>
    <row r="51" spans="1:9" x14ac:dyDescent="0.25">
      <c r="A51" s="32"/>
      <c r="B51" s="47"/>
      <c r="C51" s="69"/>
      <c r="D51" s="32"/>
      <c r="E51" s="32"/>
      <c r="F51" s="32"/>
      <c r="G51" s="32"/>
      <c r="H51" s="32"/>
      <c r="I51" s="32"/>
    </row>
    <row r="52" spans="1:9" x14ac:dyDescent="0.25">
      <c r="A52" s="32"/>
      <c r="B52" s="47"/>
      <c r="C52" s="69"/>
      <c r="D52" s="32"/>
      <c r="E52" s="32"/>
      <c r="F52" s="32"/>
      <c r="G52" s="32"/>
      <c r="H52" s="32"/>
      <c r="I52" s="32"/>
    </row>
    <row r="53" spans="1:9" x14ac:dyDescent="0.25">
      <c r="A53" s="32"/>
      <c r="B53" s="47"/>
      <c r="C53" s="14"/>
      <c r="D53" s="32"/>
      <c r="E53" s="136"/>
      <c r="F53" s="32"/>
      <c r="G53" s="32"/>
      <c r="H53" s="32"/>
      <c r="I53" s="32"/>
    </row>
    <row r="54" spans="1:9" x14ac:dyDescent="0.25">
      <c r="A54" s="32"/>
      <c r="B54" s="47"/>
      <c r="C54" s="69"/>
      <c r="D54" s="32"/>
      <c r="E54" s="32"/>
      <c r="F54" s="32"/>
      <c r="G54" s="32"/>
      <c r="H54" s="32"/>
      <c r="I54" s="32"/>
    </row>
    <row r="55" spans="1:9" x14ac:dyDescent="0.25">
      <c r="A55" s="32"/>
      <c r="B55" s="47"/>
      <c r="C55" s="69"/>
      <c r="D55" s="32"/>
      <c r="E55" s="32"/>
      <c r="F55" s="32"/>
      <c r="G55" s="32"/>
      <c r="H55" s="32"/>
      <c r="I55" s="32"/>
    </row>
    <row r="56" spans="1:9" x14ac:dyDescent="0.25">
      <c r="A56" s="32"/>
      <c r="B56" s="47"/>
      <c r="C56" s="69"/>
      <c r="D56" s="32"/>
      <c r="E56" s="32"/>
      <c r="F56" s="32"/>
      <c r="G56" s="32"/>
      <c r="H56" s="32"/>
      <c r="I56" s="32"/>
    </row>
    <row r="57" spans="1:9" x14ac:dyDescent="0.25">
      <c r="A57" s="32"/>
      <c r="B57" s="47"/>
      <c r="C57" s="69"/>
      <c r="D57" s="32"/>
      <c r="E57" s="32"/>
      <c r="F57" s="32"/>
      <c r="G57" s="32"/>
      <c r="H57" s="32"/>
      <c r="I57" s="32"/>
    </row>
    <row r="58" spans="1:9" x14ac:dyDescent="0.25">
      <c r="A58" s="32"/>
      <c r="B58" s="47"/>
      <c r="C58" s="69"/>
      <c r="D58" s="32"/>
      <c r="E58" s="32"/>
      <c r="F58" s="32"/>
      <c r="G58" s="32"/>
      <c r="H58" s="32"/>
      <c r="I58" s="32"/>
    </row>
    <row r="59" spans="1:9" x14ac:dyDescent="0.25">
      <c r="A59" s="32"/>
      <c r="B59" s="47"/>
      <c r="C59" s="69"/>
      <c r="D59" s="32"/>
      <c r="E59" s="32"/>
      <c r="F59" s="32"/>
      <c r="G59" s="32"/>
      <c r="H59" s="32"/>
      <c r="I59" s="32"/>
    </row>
    <row r="60" spans="1:9" x14ac:dyDescent="0.25">
      <c r="A60" s="32"/>
      <c r="B60" s="404"/>
      <c r="C60" s="405"/>
      <c r="D60" s="32"/>
      <c r="E60" s="32"/>
      <c r="F60" s="32"/>
      <c r="G60" s="32"/>
      <c r="H60" s="32"/>
      <c r="I60" s="32"/>
    </row>
    <row r="61" spans="1:9" x14ac:dyDescent="0.25">
      <c r="A61" s="32"/>
      <c r="B61" s="14"/>
      <c r="C61" s="69"/>
      <c r="D61" s="32"/>
      <c r="E61" s="32"/>
      <c r="F61" s="32"/>
      <c r="G61" s="32"/>
      <c r="H61" s="32"/>
      <c r="I61" s="32"/>
    </row>
    <row r="62" spans="1:9" x14ac:dyDescent="0.25">
      <c r="A62" s="32"/>
      <c r="B62" s="14"/>
      <c r="C62" s="69"/>
      <c r="D62" s="32"/>
      <c r="E62" s="32"/>
      <c r="F62" s="32"/>
      <c r="G62" s="32"/>
      <c r="H62" s="32"/>
      <c r="I62" s="32"/>
    </row>
    <row r="63" spans="1:9" x14ac:dyDescent="0.25">
      <c r="A63" s="32"/>
      <c r="B63" s="14"/>
      <c r="C63" s="69"/>
      <c r="D63" s="32"/>
      <c r="E63" s="32"/>
      <c r="F63" s="32"/>
      <c r="G63" s="32"/>
      <c r="H63" s="32"/>
      <c r="I63" s="32"/>
    </row>
    <row r="64" spans="1:9" x14ac:dyDescent="0.25">
      <c r="A64" s="32"/>
      <c r="B64" s="14"/>
      <c r="C64" s="69"/>
      <c r="D64" s="70"/>
      <c r="E64" s="32"/>
      <c r="F64" s="32"/>
      <c r="G64" s="32"/>
      <c r="H64" s="32"/>
      <c r="I64" s="32"/>
    </row>
    <row r="65" spans="1:9" x14ac:dyDescent="0.25">
      <c r="A65" s="32"/>
      <c r="B65" s="14"/>
      <c r="C65" s="307"/>
      <c r="D65" s="32"/>
      <c r="E65" s="32"/>
      <c r="F65" s="32"/>
      <c r="G65" s="32"/>
      <c r="H65" s="32"/>
      <c r="I65" s="32"/>
    </row>
    <row r="66" spans="1:9" x14ac:dyDescent="0.25">
      <c r="A66" s="32"/>
      <c r="B66" s="14"/>
      <c r="C66" s="307"/>
      <c r="D66" s="413"/>
      <c r="E66" s="408"/>
      <c r="F66" s="32"/>
      <c r="G66" s="32"/>
      <c r="H66" s="32"/>
      <c r="I66" s="32"/>
    </row>
    <row r="67" spans="1:9" x14ac:dyDescent="0.25">
      <c r="A67" s="32"/>
      <c r="B67" s="14"/>
      <c r="C67" s="307"/>
      <c r="D67" s="15"/>
      <c r="E67" s="32"/>
      <c r="F67" s="32"/>
      <c r="G67" s="32"/>
      <c r="H67" s="32"/>
      <c r="I67" s="32"/>
    </row>
    <row r="68" spans="1:9" x14ac:dyDescent="0.25">
      <c r="A68" s="32"/>
      <c r="B68" s="14"/>
      <c r="C68" s="307"/>
      <c r="D68" s="15"/>
      <c r="E68" s="32"/>
      <c r="F68" s="32"/>
      <c r="G68" s="32"/>
      <c r="H68" s="32"/>
      <c r="I68" s="32"/>
    </row>
    <row r="69" spans="1:9" x14ac:dyDescent="0.25">
      <c r="A69" s="32"/>
      <c r="B69" s="14"/>
      <c r="C69" s="307"/>
      <c r="D69" s="16"/>
      <c r="E69" s="32"/>
      <c r="F69" s="32"/>
      <c r="G69" s="32"/>
      <c r="H69" s="32"/>
      <c r="I69" s="32"/>
    </row>
    <row r="70" spans="1:9" x14ac:dyDescent="0.25">
      <c r="A70" s="32"/>
      <c r="B70" s="14"/>
      <c r="C70" s="307"/>
      <c r="D70" s="240"/>
      <c r="E70" s="32"/>
      <c r="F70" s="32"/>
      <c r="G70" s="32"/>
      <c r="H70" s="32"/>
      <c r="I70" s="32"/>
    </row>
    <row r="71" spans="1:9" x14ac:dyDescent="0.25">
      <c r="A71" s="32"/>
      <c r="B71" s="412"/>
      <c r="C71" s="69"/>
      <c r="D71" s="32"/>
      <c r="E71" s="32"/>
      <c r="F71" s="32"/>
      <c r="G71" s="32"/>
      <c r="H71" s="32"/>
      <c r="I71" s="32"/>
    </row>
    <row r="72" spans="1:9" x14ac:dyDescent="0.25">
      <c r="A72" s="32"/>
      <c r="B72" s="412"/>
      <c r="C72" s="69"/>
      <c r="D72" s="70"/>
      <c r="E72" s="32"/>
      <c r="F72" s="32"/>
      <c r="G72" s="32"/>
      <c r="H72" s="32"/>
      <c r="I72" s="32"/>
    </row>
    <row r="73" spans="1:9" x14ac:dyDescent="0.25">
      <c r="A73" s="32"/>
      <c r="B73" s="413"/>
      <c r="C73" s="14"/>
      <c r="D73" s="32"/>
      <c r="E73" s="32"/>
      <c r="F73" s="32"/>
      <c r="G73" s="32"/>
      <c r="H73" s="32"/>
      <c r="I73" s="32"/>
    </row>
    <row r="74" spans="1:9" x14ac:dyDescent="0.25">
      <c r="A74" s="32"/>
      <c r="B74" s="413"/>
      <c r="C74" s="14"/>
      <c r="D74" s="32"/>
      <c r="E74" s="32"/>
      <c r="F74" s="32"/>
      <c r="G74" s="32"/>
      <c r="H74" s="32"/>
      <c r="I74" s="32"/>
    </row>
    <row r="75" spans="1:9" x14ac:dyDescent="0.25">
      <c r="A75" s="32"/>
      <c r="B75" s="412"/>
      <c r="C75" s="14"/>
      <c r="D75" s="70"/>
      <c r="E75" s="32"/>
      <c r="F75" s="32"/>
      <c r="G75" s="32"/>
      <c r="H75" s="32"/>
      <c r="I75" s="32"/>
    </row>
    <row r="76" spans="1:9" x14ac:dyDescent="0.25">
      <c r="A76" s="32"/>
      <c r="B76" s="412"/>
      <c r="C76" s="69"/>
      <c r="D76" s="70"/>
      <c r="E76" s="32"/>
      <c r="F76" s="32"/>
      <c r="G76" s="32"/>
      <c r="H76" s="32"/>
      <c r="I76" s="32"/>
    </row>
    <row r="77" spans="1:9" x14ac:dyDescent="0.25">
      <c r="A77" s="32"/>
      <c r="B77" s="412"/>
      <c r="C77" s="69"/>
      <c r="D77" s="32"/>
      <c r="E77" s="32"/>
      <c r="F77" s="32"/>
      <c r="G77" s="32"/>
      <c r="H77" s="32"/>
      <c r="I77" s="32"/>
    </row>
    <row r="78" spans="1:9" x14ac:dyDescent="0.25">
      <c r="A78" s="32"/>
      <c r="B78" s="404"/>
      <c r="C78" s="414"/>
      <c r="D78" s="32"/>
      <c r="E78" s="32"/>
      <c r="F78" s="32"/>
      <c r="G78" s="32"/>
      <c r="H78" s="32"/>
      <c r="I78" s="32"/>
    </row>
    <row r="79" spans="1:9" x14ac:dyDescent="0.25">
      <c r="A79" s="32"/>
      <c r="B79" s="47"/>
      <c r="C79" s="69"/>
      <c r="D79" s="32"/>
      <c r="E79" s="32"/>
      <c r="F79" s="32"/>
      <c r="G79" s="32"/>
      <c r="H79" s="32"/>
      <c r="I79" s="32"/>
    </row>
    <row r="80" spans="1:9" x14ac:dyDescent="0.25">
      <c r="A80" s="32"/>
      <c r="B80" s="47"/>
      <c r="C80" s="69"/>
      <c r="D80" s="32"/>
      <c r="E80" s="32"/>
      <c r="F80" s="32"/>
      <c r="G80" s="32"/>
      <c r="H80" s="32"/>
      <c r="I80" s="32"/>
    </row>
    <row r="81" spans="1:9" x14ac:dyDescent="0.25">
      <c r="A81" s="32"/>
      <c r="B81" s="47"/>
      <c r="C81" s="69"/>
      <c r="D81" s="32"/>
      <c r="E81" s="32"/>
      <c r="F81" s="32"/>
      <c r="G81" s="32"/>
      <c r="H81" s="32"/>
      <c r="I81" s="32"/>
    </row>
    <row r="82" spans="1:9" x14ac:dyDescent="0.25">
      <c r="A82" s="32"/>
      <c r="B82" s="47"/>
      <c r="C82" s="69"/>
      <c r="D82" s="32"/>
      <c r="E82" s="32"/>
      <c r="F82" s="32"/>
      <c r="G82" s="32"/>
      <c r="H82" s="32"/>
      <c r="I82" s="32"/>
    </row>
    <row r="83" spans="1:9" x14ac:dyDescent="0.25">
      <c r="A83" s="32"/>
      <c r="B83" s="47"/>
      <c r="C83" s="69"/>
      <c r="D83" s="32"/>
      <c r="E83" s="32"/>
      <c r="F83" s="32"/>
      <c r="G83" s="32"/>
      <c r="H83" s="32"/>
      <c r="I83" s="32"/>
    </row>
    <row r="84" spans="1:9" x14ac:dyDescent="0.25">
      <c r="A84" s="32"/>
      <c r="B84" s="47"/>
      <c r="C84" s="69"/>
      <c r="D84" s="32"/>
      <c r="E84" s="32"/>
      <c r="F84" s="32"/>
      <c r="G84" s="32"/>
      <c r="H84" s="32"/>
      <c r="I84" s="32"/>
    </row>
    <row r="85" spans="1:9" x14ac:dyDescent="0.25">
      <c r="A85" s="32"/>
      <c r="B85" s="47"/>
      <c r="C85" s="69"/>
      <c r="D85" s="32"/>
      <c r="E85" s="32"/>
      <c r="F85" s="32"/>
      <c r="G85" s="32"/>
      <c r="H85" s="32"/>
      <c r="I85" s="32"/>
    </row>
    <row r="86" spans="1:9" x14ac:dyDescent="0.25">
      <c r="A86" s="32"/>
      <c r="B86" s="47"/>
      <c r="C86" s="69"/>
      <c r="D86" s="32"/>
      <c r="E86" s="32"/>
      <c r="F86" s="32"/>
      <c r="G86" s="32"/>
      <c r="H86" s="32"/>
      <c r="I86" s="32"/>
    </row>
    <row r="87" spans="1:9" x14ac:dyDescent="0.25">
      <c r="A87" s="32"/>
      <c r="B87" s="47"/>
      <c r="C87" s="69"/>
      <c r="D87" s="32"/>
      <c r="E87" s="32"/>
      <c r="F87" s="32"/>
      <c r="G87" s="32"/>
      <c r="H87" s="32"/>
      <c r="I87" s="32"/>
    </row>
    <row r="88" spans="1:9" x14ac:dyDescent="0.25">
      <c r="A88" s="32"/>
      <c r="B88" s="47"/>
      <c r="C88" s="69"/>
      <c r="D88" s="32"/>
      <c r="E88" s="32"/>
      <c r="F88" s="32"/>
      <c r="G88" s="32"/>
      <c r="H88" s="32"/>
      <c r="I88" s="32"/>
    </row>
    <row r="89" spans="1:9" x14ac:dyDescent="0.25">
      <c r="A89" s="32"/>
      <c r="B89" s="47"/>
      <c r="C89" s="69"/>
      <c r="D89" s="32"/>
      <c r="E89" s="32"/>
      <c r="F89" s="32"/>
      <c r="G89" s="32"/>
      <c r="H89" s="32"/>
      <c r="I89" s="32"/>
    </row>
    <row r="90" spans="1:9" x14ac:dyDescent="0.25">
      <c r="A90" s="32"/>
      <c r="B90" s="47"/>
      <c r="C90" s="69"/>
      <c r="D90" s="32"/>
      <c r="E90" s="32"/>
      <c r="F90" s="32"/>
      <c r="G90" s="32"/>
      <c r="H90" s="32"/>
      <c r="I90" s="32"/>
    </row>
    <row r="91" spans="1:9" x14ac:dyDescent="0.25">
      <c r="A91" s="32"/>
      <c r="B91" s="47"/>
      <c r="C91" s="69"/>
      <c r="D91" s="32"/>
      <c r="E91" s="32"/>
      <c r="F91" s="32"/>
      <c r="G91" s="32"/>
      <c r="H91" s="32"/>
      <c r="I91" s="32"/>
    </row>
    <row r="92" spans="1:9" x14ac:dyDescent="0.25">
      <c r="A92" s="32"/>
      <c r="B92" s="47"/>
      <c r="C92" s="69"/>
      <c r="D92" s="32"/>
      <c r="E92" s="32"/>
      <c r="F92" s="32"/>
      <c r="G92" s="32"/>
      <c r="H92" s="32"/>
      <c r="I92" s="32"/>
    </row>
    <row r="93" spans="1:9" x14ac:dyDescent="0.25">
      <c r="A93" s="32"/>
      <c r="B93" s="47"/>
      <c r="C93" s="69"/>
      <c r="D93" s="32"/>
      <c r="E93" s="32"/>
      <c r="F93" s="32"/>
      <c r="G93" s="32"/>
      <c r="H93" s="32"/>
      <c r="I93" s="32"/>
    </row>
    <row r="94" spans="1:9" x14ac:dyDescent="0.25">
      <c r="A94" s="32"/>
      <c r="B94" s="47"/>
      <c r="C94" s="69"/>
      <c r="D94" s="32"/>
      <c r="E94" s="32"/>
      <c r="F94" s="32"/>
      <c r="G94" s="32"/>
      <c r="H94" s="32"/>
      <c r="I94" s="32"/>
    </row>
    <row r="95" spans="1:9" x14ac:dyDescent="0.25">
      <c r="A95" s="32"/>
      <c r="B95" s="47"/>
      <c r="C95" s="69"/>
      <c r="D95" s="32"/>
      <c r="E95" s="32"/>
      <c r="F95" s="32"/>
      <c r="G95" s="32"/>
      <c r="H95" s="32"/>
      <c r="I95" s="32"/>
    </row>
    <row r="96" spans="1:9" x14ac:dyDescent="0.25">
      <c r="A96" s="32"/>
      <c r="B96" s="47"/>
      <c r="C96" s="69"/>
      <c r="D96" s="32"/>
      <c r="E96" s="32"/>
      <c r="F96" s="32"/>
      <c r="G96" s="32"/>
      <c r="H96" s="32"/>
      <c r="I96" s="32"/>
    </row>
    <row r="97" spans="1:9" x14ac:dyDescent="0.25">
      <c r="A97" s="32"/>
      <c r="B97" s="47"/>
      <c r="C97" s="69"/>
      <c r="D97" s="32"/>
      <c r="E97" s="32"/>
      <c r="F97" s="32"/>
      <c r="G97" s="32"/>
      <c r="H97" s="32"/>
      <c r="I97" s="32"/>
    </row>
    <row r="98" spans="1:9" x14ac:dyDescent="0.25">
      <c r="A98" s="32"/>
      <c r="B98" s="47"/>
      <c r="C98" s="69"/>
      <c r="D98" s="32"/>
      <c r="E98" s="32"/>
      <c r="F98" s="32"/>
      <c r="G98" s="32"/>
      <c r="H98" s="32"/>
      <c r="I98" s="32"/>
    </row>
    <row r="99" spans="1:9" x14ac:dyDescent="0.25">
      <c r="A99" s="32"/>
      <c r="B99" s="47"/>
      <c r="C99" s="69"/>
      <c r="D99" s="32"/>
      <c r="E99" s="32"/>
      <c r="F99" s="32"/>
      <c r="G99" s="32"/>
      <c r="H99" s="32"/>
      <c r="I99" s="32"/>
    </row>
    <row r="100" spans="1:9" x14ac:dyDescent="0.25">
      <c r="A100" s="32"/>
      <c r="B100" s="47"/>
      <c r="C100" s="69"/>
      <c r="D100" s="32"/>
      <c r="E100" s="32"/>
      <c r="F100" s="32"/>
      <c r="G100" s="32"/>
      <c r="H100" s="32"/>
      <c r="I100" s="32"/>
    </row>
    <row r="101" spans="1:9" x14ac:dyDescent="0.25">
      <c r="A101" s="32"/>
      <c r="B101" s="47"/>
      <c r="C101" s="69"/>
      <c r="D101" s="32"/>
      <c r="E101" s="32"/>
      <c r="F101" s="32"/>
      <c r="G101" s="32"/>
      <c r="H101" s="32"/>
      <c r="I101" s="32"/>
    </row>
    <row r="102" spans="1:9" x14ac:dyDescent="0.25">
      <c r="A102" s="32"/>
      <c r="B102" s="47"/>
      <c r="C102" s="69"/>
      <c r="D102" s="32"/>
      <c r="E102" s="32"/>
      <c r="F102" s="32"/>
      <c r="G102" s="32"/>
      <c r="H102" s="32"/>
      <c r="I102" s="32"/>
    </row>
    <row r="103" spans="1:9" x14ac:dyDescent="0.25">
      <c r="A103" s="32"/>
      <c r="B103" s="47"/>
      <c r="C103" s="69"/>
      <c r="D103" s="32"/>
      <c r="E103" s="32"/>
      <c r="F103" s="32"/>
      <c r="G103" s="32"/>
      <c r="H103" s="32"/>
      <c r="I103" s="32"/>
    </row>
    <row r="104" spans="1:9" x14ac:dyDescent="0.25">
      <c r="A104" s="32"/>
      <c r="B104" s="47"/>
      <c r="C104" s="69"/>
      <c r="D104" s="32"/>
      <c r="E104" s="32"/>
      <c r="F104" s="32"/>
      <c r="G104" s="32"/>
      <c r="H104" s="32"/>
      <c r="I104" s="32"/>
    </row>
    <row r="105" spans="1:9" x14ac:dyDescent="0.25">
      <c r="A105" s="32"/>
      <c r="B105" s="47"/>
      <c r="C105" s="69"/>
      <c r="D105" s="32"/>
      <c r="E105" s="32"/>
      <c r="F105" s="32"/>
      <c r="G105" s="32"/>
      <c r="H105" s="32"/>
      <c r="I105" s="32"/>
    </row>
    <row r="106" spans="1:9" x14ac:dyDescent="0.25">
      <c r="A106" s="32"/>
      <c r="B106" s="47"/>
      <c r="C106" s="69"/>
      <c r="D106" s="32"/>
      <c r="E106" s="32"/>
      <c r="F106" s="32"/>
      <c r="G106" s="32"/>
      <c r="H106" s="32"/>
      <c r="I106" s="32"/>
    </row>
    <row r="107" spans="1:9" x14ac:dyDescent="0.25">
      <c r="A107" s="32"/>
      <c r="B107" s="47"/>
      <c r="C107" s="69"/>
      <c r="D107" s="32"/>
      <c r="E107" s="32"/>
      <c r="F107" s="32"/>
      <c r="G107" s="32"/>
      <c r="H107" s="32"/>
      <c r="I107" s="32"/>
    </row>
    <row r="108" spans="1:9" x14ac:dyDescent="0.25">
      <c r="A108" s="32"/>
      <c r="B108" s="47"/>
      <c r="C108" s="69"/>
      <c r="D108" s="32"/>
      <c r="E108" s="32"/>
      <c r="F108" s="32"/>
      <c r="G108" s="32"/>
      <c r="H108" s="32"/>
      <c r="I108" s="32"/>
    </row>
    <row r="109" spans="1:9" x14ac:dyDescent="0.25">
      <c r="A109" s="32"/>
      <c r="B109" s="47"/>
      <c r="C109" s="69"/>
      <c r="D109" s="32"/>
      <c r="E109" s="32"/>
      <c r="F109" s="32"/>
      <c r="G109" s="32"/>
      <c r="H109" s="32"/>
      <c r="I109" s="32"/>
    </row>
    <row r="110" spans="1:9" x14ac:dyDescent="0.25">
      <c r="A110" s="32"/>
      <c r="B110" s="47"/>
      <c r="C110" s="69"/>
      <c r="D110" s="32"/>
      <c r="E110" s="32"/>
      <c r="F110" s="32"/>
      <c r="G110" s="32"/>
      <c r="H110" s="32"/>
      <c r="I110" s="32"/>
    </row>
  </sheetData>
  <phoneticPr fontId="0" type="noConversion"/>
  <pageMargins left="0" right="0" top="0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8" workbookViewId="3">
      <selection activeCell="D47" sqref="D47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1"/>
      <c r="J6" s="280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5"/>
      <c r="J7" s="279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5"/>
      <c r="J8" s="279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5"/>
      <c r="J9" s="279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5"/>
      <c r="J10" s="279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2"/>
      <c r="J11" s="279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79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79"/>
      <c r="J13" s="279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79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79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79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79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174470</v>
      </c>
      <c r="C18" s="11">
        <v>161086</v>
      </c>
      <c r="D18" s="11">
        <v>14425</v>
      </c>
      <c r="E18" s="11">
        <v>14036</v>
      </c>
      <c r="F18" s="11">
        <f t="shared" si="5"/>
        <v>-13773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172191</v>
      </c>
      <c r="C19" s="11">
        <v>168000</v>
      </c>
      <c r="D19" s="11">
        <v>13605</v>
      </c>
      <c r="E19" s="11">
        <v>14036</v>
      </c>
      <c r="F19" s="11">
        <f t="shared" si="5"/>
        <v>-3760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139663</v>
      </c>
      <c r="C20" s="11">
        <v>138000</v>
      </c>
      <c r="D20" s="11">
        <v>13104</v>
      </c>
      <c r="E20" s="11">
        <v>13033</v>
      </c>
      <c r="F20" s="11">
        <f t="shared" si="5"/>
        <v>-1734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146956</v>
      </c>
      <c r="C21" s="11">
        <v>149289</v>
      </c>
      <c r="D21" s="11">
        <v>12959</v>
      </c>
      <c r="E21" s="11">
        <v>13033</v>
      </c>
      <c r="F21" s="11">
        <f t="shared" si="5"/>
        <v>2407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148293</v>
      </c>
      <c r="C22" s="11">
        <v>149289</v>
      </c>
      <c r="D22" s="11">
        <v>13350</v>
      </c>
      <c r="E22" s="11">
        <v>13033</v>
      </c>
      <c r="F22" s="11">
        <f t="shared" si="5"/>
        <v>679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145690</v>
      </c>
      <c r="C23" s="11">
        <v>145255</v>
      </c>
      <c r="D23" s="11">
        <v>13690</v>
      </c>
      <c r="E23" s="11">
        <v>13033</v>
      </c>
      <c r="F23" s="11">
        <f t="shared" si="5"/>
        <v>-1092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143805</v>
      </c>
      <c r="C24" s="11">
        <v>144293</v>
      </c>
      <c r="D24" s="11">
        <v>13379</v>
      </c>
      <c r="E24" s="11">
        <v>13033</v>
      </c>
      <c r="F24" s="11">
        <f t="shared" si="5"/>
        <v>142</v>
      </c>
      <c r="G24" s="277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>
        <v>143267</v>
      </c>
      <c r="C25" s="11">
        <v>144258</v>
      </c>
      <c r="D25" s="11">
        <v>11774</v>
      </c>
      <c r="E25" s="11">
        <v>12915</v>
      </c>
      <c r="F25" s="11">
        <f t="shared" si="5"/>
        <v>2132</v>
      </c>
      <c r="G25" s="32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2908455</v>
      </c>
      <c r="C39" s="150">
        <f>SUM(C8:C38)</f>
        <v>2898876</v>
      </c>
      <c r="D39" s="150">
        <f>SUM(D8:D38)</f>
        <v>238257</v>
      </c>
      <c r="E39" s="150">
        <f>SUM(E8:E38)</f>
        <v>235772</v>
      </c>
      <c r="F39" s="11">
        <f t="shared" si="5"/>
        <v>-12064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>
        <f>+summary!H3</f>
        <v>2.42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2">
        <f>+F40*F39</f>
        <v>-29194.879999999997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37072</v>
      </c>
      <c r="C42" s="153"/>
      <c r="D42" s="153"/>
      <c r="E42" s="153"/>
      <c r="F42" s="387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37090</v>
      </c>
      <c r="C43" s="142"/>
      <c r="D43" s="142"/>
      <c r="E43" s="142"/>
      <c r="F43" s="252">
        <f>+F42+F41</f>
        <v>644848.80000000005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8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8" thickTop="1" x14ac:dyDescent="0.25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5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5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5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5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5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5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5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3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2" workbookViewId="3">
      <selection activeCell="B41" sqref="B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-123476</v>
      </c>
      <c r="C12" s="51">
        <v>-123233</v>
      </c>
      <c r="D12" s="24">
        <f t="shared" si="0"/>
        <v>243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-44422</v>
      </c>
      <c r="C15" s="24">
        <v>-44371</v>
      </c>
      <c r="D15" s="24">
        <f t="shared" si="0"/>
        <v>51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-18430</v>
      </c>
      <c r="C16" s="24">
        <v>-18414</v>
      </c>
      <c r="D16" s="24">
        <f t="shared" si="0"/>
        <v>16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-44797</v>
      </c>
      <c r="C17" s="24">
        <v>-44092</v>
      </c>
      <c r="D17" s="24">
        <f t="shared" si="0"/>
        <v>705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-194555</v>
      </c>
      <c r="C18" s="24">
        <v>-194162</v>
      </c>
      <c r="D18" s="24">
        <f t="shared" si="0"/>
        <v>393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-206012</v>
      </c>
      <c r="C19" s="24">
        <v>-204162</v>
      </c>
      <c r="D19" s="24">
        <f t="shared" si="0"/>
        <v>1850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-194790</v>
      </c>
      <c r="C20" s="24">
        <v>-194162</v>
      </c>
      <c r="D20" s="24">
        <f t="shared" si="0"/>
        <v>628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-77025</v>
      </c>
      <c r="C21" s="24">
        <v>-77300</v>
      </c>
      <c r="D21" s="24">
        <f t="shared" si="0"/>
        <v>-275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-126017</v>
      </c>
      <c r="C22" s="24">
        <v>-123466</v>
      </c>
      <c r="D22" s="24">
        <f t="shared" si="0"/>
        <v>2551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6"/>
      <c r="W34" s="306"/>
      <c r="X34" s="306"/>
      <c r="Y34" s="306"/>
      <c r="Z34" s="149"/>
      <c r="AA34" s="150"/>
      <c r="AB34" s="150"/>
      <c r="AC34" s="150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6"/>
      <c r="BL34" s="306"/>
      <c r="BM34" s="306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6"/>
      <c r="W35" s="306"/>
      <c r="X35" s="306"/>
      <c r="Y35" s="306"/>
      <c r="Z35" s="149"/>
      <c r="AA35" s="150"/>
      <c r="AB35" s="150"/>
      <c r="AC35" s="150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6"/>
      <c r="BL35" s="306"/>
      <c r="BM35" s="306"/>
    </row>
    <row r="36" spans="1:65" ht="14.1" customHeight="1" x14ac:dyDescent="0.25">
      <c r="A36" s="12"/>
      <c r="B36" s="24">
        <f>SUM(B5:B35)</f>
        <v>-1948459</v>
      </c>
      <c r="C36" s="24">
        <f>SUM(C5:C35)</f>
        <v>-1946321</v>
      </c>
      <c r="D36" s="24">
        <f t="shared" si="0"/>
        <v>2138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6"/>
      <c r="W36" s="306"/>
      <c r="X36" s="306"/>
      <c r="Y36" s="306"/>
      <c r="Z36" s="149"/>
      <c r="AA36" s="150"/>
      <c r="AB36" s="150"/>
      <c r="AC36" s="150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  <c r="BI36" s="306"/>
      <c r="BJ36" s="306"/>
      <c r="BK36" s="306"/>
      <c r="BL36" s="306"/>
      <c r="BM36" s="306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6"/>
      <c r="W37" s="306"/>
      <c r="X37" s="306"/>
      <c r="Y37" s="306"/>
      <c r="Z37" s="206"/>
      <c r="AA37" s="208"/>
      <c r="AB37" s="208"/>
      <c r="AC37" s="208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6"/>
      <c r="BL37" s="306"/>
      <c r="BM37" s="306"/>
    </row>
    <row r="38" spans="1:65" x14ac:dyDescent="0.25">
      <c r="B38" s="256">
        <v>37072</v>
      </c>
      <c r="C38" s="24"/>
      <c r="D38" s="372">
        <v>28278</v>
      </c>
      <c r="E38" s="2"/>
      <c r="G38" s="24"/>
      <c r="H38" s="24"/>
      <c r="I38" s="150"/>
      <c r="J38" s="306"/>
      <c r="K38" s="150"/>
      <c r="L38" s="150"/>
      <c r="M38" s="150"/>
      <c r="N38" s="306"/>
      <c r="O38" s="150"/>
      <c r="P38" s="150"/>
      <c r="Q38" s="150"/>
      <c r="R38" s="306"/>
      <c r="S38" s="150"/>
      <c r="T38" s="150"/>
      <c r="U38" s="150"/>
      <c r="V38" s="306"/>
      <c r="W38" s="306"/>
      <c r="X38" s="306"/>
      <c r="Y38" s="306"/>
      <c r="Z38" s="306"/>
      <c r="AA38" s="150"/>
      <c r="AB38" s="150"/>
      <c r="AC38" s="150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</row>
    <row r="39" spans="1:65" x14ac:dyDescent="0.25">
      <c r="B39" s="256"/>
      <c r="C39" s="24"/>
      <c r="D39" s="24"/>
      <c r="E39" s="2"/>
      <c r="G39" s="24"/>
      <c r="H39" s="24"/>
      <c r="I39" s="150"/>
      <c r="J39" s="306"/>
      <c r="K39" s="150"/>
      <c r="L39" s="150"/>
      <c r="M39" s="150"/>
      <c r="N39" s="306"/>
      <c r="O39" s="150"/>
      <c r="P39" s="150"/>
      <c r="Q39" s="150"/>
      <c r="R39" s="306"/>
      <c r="S39" s="150"/>
      <c r="T39" s="150"/>
      <c r="U39" s="150"/>
      <c r="V39" s="306"/>
      <c r="W39" s="306"/>
      <c r="X39" s="306"/>
      <c r="Y39" s="306"/>
      <c r="Z39" s="306"/>
      <c r="AA39" s="150"/>
      <c r="AB39" s="150"/>
      <c r="AC39" s="150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</row>
    <row r="40" spans="1:65" ht="13.8" thickBot="1" x14ac:dyDescent="0.3">
      <c r="B40" s="256">
        <v>37090</v>
      </c>
      <c r="C40" s="24"/>
      <c r="D40" s="195">
        <f>+D36+D38</f>
        <v>30416</v>
      </c>
      <c r="E40" s="196"/>
      <c r="G40" s="24"/>
      <c r="H40" s="24"/>
      <c r="I40" s="150"/>
      <c r="J40" s="306"/>
      <c r="K40" s="150"/>
      <c r="L40" s="150"/>
      <c r="M40" s="150"/>
      <c r="N40" s="306"/>
      <c r="O40" s="150"/>
      <c r="P40" s="150"/>
      <c r="Q40" s="169"/>
      <c r="R40" s="306"/>
      <c r="S40" s="150"/>
      <c r="T40" s="150"/>
      <c r="U40" s="169"/>
      <c r="V40" s="306"/>
      <c r="W40" s="306"/>
      <c r="X40" s="306"/>
      <c r="Y40" s="306"/>
      <c r="Z40" s="306"/>
      <c r="AA40" s="150"/>
      <c r="AB40" s="150"/>
      <c r="AC40" s="169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6"/>
    </row>
    <row r="41" spans="1:65" ht="13.8" thickTop="1" x14ac:dyDescent="0.25">
      <c r="B41" s="257"/>
      <c r="C41"/>
      <c r="D41"/>
      <c r="E41" s="2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  <c r="BI41" s="306"/>
      <c r="BJ41" s="306"/>
      <c r="BK41" s="306"/>
      <c r="BL41" s="306"/>
      <c r="BM41" s="306"/>
    </row>
    <row r="42" spans="1:65" x14ac:dyDescent="0.25">
      <c r="B42" s="2"/>
      <c r="C42"/>
      <c r="D42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  <c r="BI42" s="306"/>
      <c r="BJ42" s="306"/>
      <c r="BK42" s="306"/>
      <c r="BL42" s="306"/>
      <c r="BM42" s="306"/>
    </row>
    <row r="43" spans="1:65" x14ac:dyDescent="0.25">
      <c r="B43"/>
      <c r="C43"/>
      <c r="D43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  <c r="BI43" s="306"/>
      <c r="BJ43" s="306"/>
      <c r="BK43" s="306"/>
      <c r="BL43" s="306"/>
      <c r="BM43" s="306"/>
    </row>
    <row r="44" spans="1:65" x14ac:dyDescent="0.25">
      <c r="B44"/>
      <c r="C44"/>
      <c r="D44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  <c r="BI44" s="306"/>
      <c r="BJ44" s="306"/>
      <c r="BK44" s="306"/>
      <c r="BL44" s="306"/>
      <c r="BM44" s="306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A25" sqref="A25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6"/>
      <c r="D3" s="88"/>
    </row>
    <row r="4" spans="1:13" x14ac:dyDescent="0.25">
      <c r="A4" s="87"/>
      <c r="B4" s="262" t="s">
        <v>20</v>
      </c>
      <c r="C4" s="262" t="s">
        <v>21</v>
      </c>
      <c r="D4" s="263" t="s">
        <v>51</v>
      </c>
    </row>
    <row r="5" spans="1:13" x14ac:dyDescent="0.25">
      <c r="A5" s="87">
        <v>56339</v>
      </c>
      <c r="B5" s="90">
        <v>598893</v>
      </c>
      <c r="C5" s="90">
        <v>621209</v>
      </c>
      <c r="D5" s="90">
        <f>+C5-B5</f>
        <v>22316</v>
      </c>
      <c r="E5" s="286"/>
      <c r="F5" s="284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542725</v>
      </c>
      <c r="C7" s="90">
        <v>429444</v>
      </c>
      <c r="D7" s="90">
        <f t="shared" si="0"/>
        <v>-113281</v>
      </c>
      <c r="E7" s="286"/>
      <c r="F7" s="284"/>
      <c r="L7" t="s">
        <v>26</v>
      </c>
      <c r="M7">
        <v>7.6</v>
      </c>
    </row>
    <row r="8" spans="1:13" x14ac:dyDescent="0.25">
      <c r="A8" s="87">
        <v>500239</v>
      </c>
      <c r="B8" s="321">
        <v>653889</v>
      </c>
      <c r="C8" s="90">
        <v>731875</v>
      </c>
      <c r="D8" s="90">
        <f t="shared" si="0"/>
        <v>77986</v>
      </c>
      <c r="E8" s="286"/>
      <c r="F8" s="284"/>
    </row>
    <row r="9" spans="1:13" x14ac:dyDescent="0.25">
      <c r="A9" s="87">
        <v>500293</v>
      </c>
      <c r="B9" s="90">
        <v>272209</v>
      </c>
      <c r="C9" s="90">
        <v>367670</v>
      </c>
      <c r="D9" s="90">
        <f t="shared" si="0"/>
        <v>95461</v>
      </c>
      <c r="E9" s="286"/>
      <c r="F9" s="284"/>
    </row>
    <row r="10" spans="1:13" x14ac:dyDescent="0.25">
      <c r="A10" s="87">
        <v>500302</v>
      </c>
      <c r="B10" s="321"/>
      <c r="C10" s="321">
        <v>6816</v>
      </c>
      <c r="D10" s="90">
        <f t="shared" si="0"/>
        <v>6816</v>
      </c>
      <c r="E10" s="286"/>
      <c r="F10" s="284"/>
    </row>
    <row r="11" spans="1:13" x14ac:dyDescent="0.25">
      <c r="A11" s="87">
        <v>500303</v>
      </c>
      <c r="B11" s="321">
        <v>120961</v>
      </c>
      <c r="C11" s="90">
        <v>196874</v>
      </c>
      <c r="D11" s="90">
        <f t="shared" si="0"/>
        <v>75913</v>
      </c>
      <c r="E11" s="286"/>
      <c r="F11" s="284"/>
    </row>
    <row r="12" spans="1:13" x14ac:dyDescent="0.25">
      <c r="A12" s="91">
        <v>500305</v>
      </c>
      <c r="B12" s="321">
        <v>569590</v>
      </c>
      <c r="C12" s="90">
        <v>812133</v>
      </c>
      <c r="D12" s="90">
        <f t="shared" si="0"/>
        <v>242543</v>
      </c>
      <c r="E12" s="287"/>
      <c r="F12" s="284"/>
    </row>
    <row r="13" spans="1:13" x14ac:dyDescent="0.25">
      <c r="A13" s="87">
        <v>500307</v>
      </c>
      <c r="B13" s="321">
        <v>79956</v>
      </c>
      <c r="C13" s="90">
        <v>96425</v>
      </c>
      <c r="D13" s="90">
        <f t="shared" si="0"/>
        <v>16469</v>
      </c>
      <c r="E13" s="286"/>
      <c r="F13" s="284"/>
    </row>
    <row r="14" spans="1:13" x14ac:dyDescent="0.25">
      <c r="A14" s="87">
        <v>500313</v>
      </c>
      <c r="B14" s="90">
        <v>2540</v>
      </c>
      <c r="C14" s="321">
        <v>1878</v>
      </c>
      <c r="D14" s="90">
        <f t="shared" si="0"/>
        <v>-662</v>
      </c>
      <c r="E14" s="286"/>
      <c r="F14" s="284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6"/>
      <c r="F15" s="284"/>
    </row>
    <row r="16" spans="1:13" x14ac:dyDescent="0.25">
      <c r="A16" s="87">
        <v>500655</v>
      </c>
      <c r="B16" s="327">
        <v>419870</v>
      </c>
      <c r="C16" s="90"/>
      <c r="D16" s="90">
        <f t="shared" si="0"/>
        <v>-419870</v>
      </c>
      <c r="E16" s="286"/>
      <c r="F16" s="284"/>
    </row>
    <row r="17" spans="1:6" x14ac:dyDescent="0.25">
      <c r="A17" s="87">
        <v>500657</v>
      </c>
      <c r="B17" s="338">
        <v>98579</v>
      </c>
      <c r="C17" s="88">
        <v>108000</v>
      </c>
      <c r="D17" s="94">
        <f t="shared" si="0"/>
        <v>9421</v>
      </c>
      <c r="E17" s="286"/>
      <c r="F17" s="284"/>
    </row>
    <row r="18" spans="1:6" x14ac:dyDescent="0.25">
      <c r="A18" s="87"/>
      <c r="B18" s="88"/>
      <c r="C18" s="88"/>
      <c r="D18" s="88">
        <f>SUM(D5:D17)</f>
        <v>13112</v>
      </c>
      <c r="E18" s="286"/>
      <c r="F18" s="284"/>
    </row>
    <row r="19" spans="1:6" x14ac:dyDescent="0.25">
      <c r="A19" s="87" t="s">
        <v>84</v>
      </c>
      <c r="B19" s="88"/>
      <c r="C19" s="88"/>
      <c r="D19" s="95">
        <f>+summary!H4</f>
        <v>2.77</v>
      </c>
      <c r="E19" s="288"/>
      <c r="F19" s="284"/>
    </row>
    <row r="20" spans="1:6" x14ac:dyDescent="0.25">
      <c r="A20" s="87"/>
      <c r="B20" s="88"/>
      <c r="C20" s="88"/>
      <c r="D20" s="96">
        <f>+D19*D18</f>
        <v>36320.239999999998</v>
      </c>
      <c r="E20" s="209"/>
      <c r="F20" s="285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37072</v>
      </c>
      <c r="B22" s="88"/>
      <c r="C22" s="88"/>
      <c r="D22" s="382">
        <v>26156.73</v>
      </c>
      <c r="E22" s="209"/>
      <c r="F22" s="66"/>
    </row>
    <row r="23" spans="1:6" x14ac:dyDescent="0.25">
      <c r="A23" s="87"/>
      <c r="B23" s="88"/>
      <c r="C23" s="88"/>
      <c r="D23" s="324"/>
      <c r="E23" s="209"/>
      <c r="F23" s="66"/>
    </row>
    <row r="24" spans="1:6" ht="13.8" thickBot="1" x14ac:dyDescent="0.3">
      <c r="A24" s="99">
        <v>37090</v>
      </c>
      <c r="B24" s="88"/>
      <c r="C24" s="88"/>
      <c r="D24" s="337">
        <f>+D22+D20</f>
        <v>62476.97</v>
      </c>
      <c r="E24" s="209"/>
      <c r="F24" s="66"/>
    </row>
    <row r="25" spans="1:6" ht="13.8" thickTop="1" x14ac:dyDescent="0.25">
      <c r="E25" s="289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29">
        <v>30204</v>
      </c>
      <c r="E13" s="11">
        <v>29000</v>
      </c>
      <c r="F13" s="25">
        <f t="shared" si="0"/>
        <v>-925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>
        <v>44817</v>
      </c>
      <c r="C15" s="11">
        <v>46773</v>
      </c>
      <c r="D15" s="11">
        <v>28248</v>
      </c>
      <c r="E15" s="11">
        <v>29000</v>
      </c>
      <c r="F15" s="25">
        <f t="shared" si="0"/>
        <v>2708</v>
      </c>
      <c r="G15" s="25"/>
    </row>
    <row r="16" spans="1:7" x14ac:dyDescent="0.2">
      <c r="A16" s="41">
        <v>13</v>
      </c>
      <c r="B16" s="11">
        <v>45318</v>
      </c>
      <c r="C16" s="11">
        <v>46682</v>
      </c>
      <c r="D16" s="11">
        <v>28386</v>
      </c>
      <c r="E16" s="11">
        <v>28943</v>
      </c>
      <c r="F16" s="25">
        <f t="shared" si="0"/>
        <v>1921</v>
      </c>
      <c r="G16" s="25"/>
    </row>
    <row r="17" spans="1:7" x14ac:dyDescent="0.2">
      <c r="A17" s="41">
        <v>14</v>
      </c>
      <c r="B17" s="11">
        <v>46538</v>
      </c>
      <c r="C17" s="11">
        <v>46773</v>
      </c>
      <c r="D17" s="11">
        <v>28082</v>
      </c>
      <c r="E17" s="11">
        <v>29000</v>
      </c>
      <c r="F17" s="25">
        <f t="shared" si="0"/>
        <v>1153</v>
      </c>
      <c r="G17" s="25"/>
    </row>
    <row r="18" spans="1:7" x14ac:dyDescent="0.2">
      <c r="A18" s="41">
        <v>15</v>
      </c>
      <c r="B18" s="11">
        <v>46426</v>
      </c>
      <c r="C18" s="11">
        <v>55757</v>
      </c>
      <c r="D18" s="11">
        <v>28025</v>
      </c>
      <c r="E18" s="11">
        <v>33498</v>
      </c>
      <c r="F18" s="25">
        <f t="shared" si="0"/>
        <v>14804</v>
      </c>
      <c r="G18" s="25"/>
    </row>
    <row r="19" spans="1:7" x14ac:dyDescent="0.2">
      <c r="A19" s="41">
        <v>16</v>
      </c>
      <c r="B19" s="11">
        <v>40341</v>
      </c>
      <c r="C19" s="11">
        <v>46773</v>
      </c>
      <c r="D19" s="11">
        <v>31976</v>
      </c>
      <c r="E19" s="11">
        <v>29000</v>
      </c>
      <c r="F19" s="25">
        <f t="shared" si="0"/>
        <v>3456</v>
      </c>
      <c r="G19" s="25"/>
    </row>
    <row r="20" spans="1:7" x14ac:dyDescent="0.2">
      <c r="A20" s="41">
        <v>17</v>
      </c>
      <c r="B20" s="11">
        <v>37121</v>
      </c>
      <c r="C20" s="11">
        <v>35773</v>
      </c>
      <c r="D20" s="11">
        <v>34451</v>
      </c>
      <c r="E20" s="11">
        <v>40000</v>
      </c>
      <c r="F20" s="25">
        <f t="shared" si="0"/>
        <v>4201</v>
      </c>
      <c r="G20" s="25"/>
    </row>
    <row r="21" spans="1:7" x14ac:dyDescent="0.2">
      <c r="A21" s="41">
        <v>18</v>
      </c>
      <c r="B21" s="11">
        <v>38012</v>
      </c>
      <c r="C21" s="11">
        <v>35773</v>
      </c>
      <c r="D21" s="11">
        <v>35718</v>
      </c>
      <c r="E21" s="11">
        <v>40000</v>
      </c>
      <c r="F21" s="25">
        <f t="shared" si="0"/>
        <v>2043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820616</v>
      </c>
      <c r="C35" s="11">
        <f>SUM(C4:C34)</f>
        <v>824391</v>
      </c>
      <c r="D35" s="11">
        <f>SUM(D4:D34)</f>
        <v>547087</v>
      </c>
      <c r="E35" s="11">
        <f>SUM(E4:E34)</f>
        <v>557144</v>
      </c>
      <c r="F35" s="11">
        <f>+E35-D35+C35-B35</f>
        <v>13832</v>
      </c>
    </row>
    <row r="36" spans="1:7" x14ac:dyDescent="0.2">
      <c r="A36" s="45"/>
      <c r="C36" s="14">
        <f>+C35-B35</f>
        <v>3775</v>
      </c>
      <c r="D36" s="14"/>
      <c r="E36" s="14">
        <f>+E35-D35</f>
        <v>10057</v>
      </c>
      <c r="F36" s="47"/>
    </row>
    <row r="37" spans="1:7" x14ac:dyDescent="0.2">
      <c r="C37" s="15">
        <f>+summary!H4</f>
        <v>2.77</v>
      </c>
      <c r="D37" s="15"/>
      <c r="E37" s="15">
        <f>+C37</f>
        <v>2.77</v>
      </c>
      <c r="F37" s="24"/>
    </row>
    <row r="38" spans="1:7" x14ac:dyDescent="0.2">
      <c r="C38" s="48">
        <f>+C37*C36</f>
        <v>10456.75</v>
      </c>
      <c r="D38" s="47"/>
      <c r="E38" s="48">
        <f>+E37*E36</f>
        <v>27857.89</v>
      </c>
      <c r="F38" s="46">
        <f>+E38+C38</f>
        <v>38314.639999999999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381">
        <v>2417637.89</v>
      </c>
      <c r="D40" s="111"/>
      <c r="E40" s="381">
        <v>-1908689.58</v>
      </c>
      <c r="F40" s="356">
        <f>+E40+C40</f>
        <v>508948.31000000006</v>
      </c>
      <c r="G40" s="25"/>
    </row>
    <row r="41" spans="1:7" x14ac:dyDescent="0.2">
      <c r="A41" s="57">
        <v>37090</v>
      </c>
      <c r="C41" s="106">
        <f>+C40+C38</f>
        <v>2428094.64</v>
      </c>
      <c r="D41" s="106"/>
      <c r="E41" s="106">
        <f>+E40+E38</f>
        <v>-1880831.6900000002</v>
      </c>
      <c r="F41" s="106">
        <f>+E41+C41</f>
        <v>547262.94999999995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6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9" workbookViewId="3">
      <selection activeCell="E23" sqref="E23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127004</v>
      </c>
      <c r="C8" s="11">
        <v>187111</v>
      </c>
      <c r="D8" s="11"/>
      <c r="E8" s="11">
        <v>-62293</v>
      </c>
      <c r="F8" s="11">
        <f t="shared" si="2"/>
        <v>-2186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193942</v>
      </c>
      <c r="C15" s="11">
        <v>193088</v>
      </c>
      <c r="D15" s="11"/>
      <c r="E15" s="11"/>
      <c r="F15" s="11">
        <f t="shared" si="2"/>
        <v>-854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193586</v>
      </c>
      <c r="C16" s="11">
        <v>197136</v>
      </c>
      <c r="D16" s="11"/>
      <c r="E16" s="11">
        <v>-5726</v>
      </c>
      <c r="F16" s="11">
        <f t="shared" si="2"/>
        <v>-2176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187071</v>
      </c>
      <c r="C17" s="11">
        <v>197168</v>
      </c>
      <c r="D17" s="11"/>
      <c r="E17" s="11">
        <v>-8390</v>
      </c>
      <c r="F17" s="11">
        <f t="shared" si="2"/>
        <v>1707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178314</v>
      </c>
      <c r="C18" s="11">
        <v>190342</v>
      </c>
      <c r="D18" s="11"/>
      <c r="E18" s="11">
        <v>-11136</v>
      </c>
      <c r="F18" s="11">
        <f t="shared" si="2"/>
        <v>892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186616</v>
      </c>
      <c r="C19" s="11">
        <v>190342</v>
      </c>
      <c r="D19" s="11"/>
      <c r="E19" s="11">
        <v>-8612</v>
      </c>
      <c r="F19" s="11">
        <f t="shared" si="2"/>
        <v>-4886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187222</v>
      </c>
      <c r="C20" s="11">
        <v>190342</v>
      </c>
      <c r="D20" s="11"/>
      <c r="E20" s="11">
        <v>-4365</v>
      </c>
      <c r="F20" s="11">
        <f t="shared" si="2"/>
        <v>-1245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191390</v>
      </c>
      <c r="C21" s="11">
        <v>186462</v>
      </c>
      <c r="D21" s="11"/>
      <c r="E21" s="11"/>
      <c r="F21" s="11">
        <f t="shared" si="2"/>
        <v>-4928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112445</v>
      </c>
      <c r="C22" s="11">
        <v>172381</v>
      </c>
      <c r="D22" s="11"/>
      <c r="E22" s="11">
        <v>-59185</v>
      </c>
      <c r="F22" s="11">
        <f t="shared" si="2"/>
        <v>751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3030462</v>
      </c>
      <c r="C36" s="11">
        <f>SUM(C5:C35)</f>
        <v>3583169</v>
      </c>
      <c r="D36" s="11">
        <f>SUM(D5:D35)</f>
        <v>0</v>
      </c>
      <c r="E36" s="11">
        <f>SUM(E5:E35)</f>
        <v>-562886</v>
      </c>
      <c r="F36" s="11">
        <f>SUM(F5:F35)</f>
        <v>-10179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37072</v>
      </c>
      <c r="F39" s="388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37090</v>
      </c>
      <c r="F41" s="357">
        <f>+F39+F36</f>
        <v>1055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5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5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5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5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5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5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5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5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5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5">
      <c r="A17" s="10">
        <v>10</v>
      </c>
      <c r="B17" s="11">
        <v>80229</v>
      </c>
      <c r="C17" s="11">
        <v>79575</v>
      </c>
      <c r="D17" s="11">
        <f t="shared" si="0"/>
        <v>-654</v>
      </c>
      <c r="E17" s="10"/>
      <c r="F17" s="11"/>
      <c r="G17" s="11"/>
      <c r="H17" s="11"/>
    </row>
    <row r="18" spans="1:8" x14ac:dyDescent="0.25">
      <c r="A18" s="10">
        <v>11</v>
      </c>
      <c r="B18" s="11">
        <v>91609</v>
      </c>
      <c r="C18" s="11">
        <v>91496</v>
      </c>
      <c r="D18" s="11">
        <f t="shared" si="0"/>
        <v>-113</v>
      </c>
      <c r="E18" s="10"/>
      <c r="F18" s="11"/>
      <c r="G18" s="11"/>
      <c r="H18" s="11"/>
    </row>
    <row r="19" spans="1:8" x14ac:dyDescent="0.25">
      <c r="A19" s="10">
        <v>12</v>
      </c>
      <c r="B19" s="11">
        <v>91776</v>
      </c>
      <c r="C19" s="11">
        <v>91496</v>
      </c>
      <c r="D19" s="11">
        <f t="shared" si="0"/>
        <v>-280</v>
      </c>
      <c r="E19" s="10"/>
      <c r="F19" s="11"/>
      <c r="G19" s="11"/>
      <c r="H19" s="11"/>
    </row>
    <row r="20" spans="1:8" x14ac:dyDescent="0.25">
      <c r="A20" s="10">
        <v>13</v>
      </c>
      <c r="B20" s="11">
        <v>98890</v>
      </c>
      <c r="C20" s="11">
        <v>98105</v>
      </c>
      <c r="D20" s="11">
        <f t="shared" si="0"/>
        <v>-785</v>
      </c>
      <c r="E20" s="10"/>
      <c r="F20" s="11"/>
      <c r="G20" s="11"/>
      <c r="H20" s="11"/>
    </row>
    <row r="21" spans="1:8" x14ac:dyDescent="0.25">
      <c r="A21" s="10">
        <v>14</v>
      </c>
      <c r="B21" s="11">
        <v>95006</v>
      </c>
      <c r="C21" s="11">
        <v>95675</v>
      </c>
      <c r="D21" s="11">
        <f t="shared" si="0"/>
        <v>669</v>
      </c>
      <c r="E21" s="10"/>
      <c r="F21" s="11"/>
      <c r="G21" s="11"/>
      <c r="H21" s="11"/>
    </row>
    <row r="22" spans="1:8" x14ac:dyDescent="0.25">
      <c r="A22" s="10">
        <v>15</v>
      </c>
      <c r="B22" s="11">
        <v>98127</v>
      </c>
      <c r="C22" s="11">
        <v>90791</v>
      </c>
      <c r="D22" s="11">
        <f t="shared" si="0"/>
        <v>-7336</v>
      </c>
      <c r="E22" s="10"/>
      <c r="F22" s="11"/>
      <c r="G22" s="11"/>
      <c r="H22" s="11"/>
    </row>
    <row r="23" spans="1:8" x14ac:dyDescent="0.25">
      <c r="A23" s="10">
        <v>16</v>
      </c>
      <c r="B23" s="11">
        <v>95603</v>
      </c>
      <c r="C23" s="11">
        <v>94316</v>
      </c>
      <c r="D23" s="11">
        <f t="shared" si="0"/>
        <v>-1287</v>
      </c>
      <c r="E23" s="10"/>
      <c r="F23" s="11"/>
      <c r="G23" s="11"/>
      <c r="H23" s="11"/>
    </row>
    <row r="24" spans="1:8" x14ac:dyDescent="0.25">
      <c r="A24" s="10">
        <v>17</v>
      </c>
      <c r="B24" s="11">
        <v>67072</v>
      </c>
      <c r="C24" s="11">
        <v>66798</v>
      </c>
      <c r="D24" s="11">
        <f t="shared" si="0"/>
        <v>-274</v>
      </c>
      <c r="E24" s="10"/>
      <c r="F24" s="11"/>
      <c r="G24" s="11"/>
      <c r="H24" s="11"/>
    </row>
    <row r="25" spans="1:8" x14ac:dyDescent="0.25">
      <c r="A25" s="10">
        <v>18</v>
      </c>
      <c r="B25" s="11">
        <v>100738</v>
      </c>
      <c r="C25" s="11">
        <v>99995</v>
      </c>
      <c r="D25" s="11">
        <f t="shared" si="0"/>
        <v>-743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1543706</v>
      </c>
      <c r="C39" s="11">
        <f>SUM(C8:C38)</f>
        <v>1531458</v>
      </c>
      <c r="D39" s="11">
        <f>SUM(D8:D38)</f>
        <v>-12248</v>
      </c>
      <c r="E39" s="10"/>
      <c r="F39" s="11"/>
      <c r="G39" s="11"/>
      <c r="H39" s="11"/>
    </row>
    <row r="40" spans="1:8" x14ac:dyDescent="0.25">
      <c r="A40" s="26"/>
      <c r="D40" s="75">
        <f>+summary!H4</f>
        <v>2.77</v>
      </c>
      <c r="E40" s="26"/>
      <c r="H40" s="75"/>
    </row>
    <row r="41" spans="1:8" x14ac:dyDescent="0.25">
      <c r="D41" s="197">
        <f>+D40*D39</f>
        <v>-33926.959999999999</v>
      </c>
      <c r="F41" s="253"/>
      <c r="H41" s="197"/>
    </row>
    <row r="42" spans="1:8" x14ac:dyDescent="0.25">
      <c r="A42" s="57">
        <v>37072</v>
      </c>
      <c r="D42" s="386">
        <v>48879.09</v>
      </c>
      <c r="E42" s="57"/>
      <c r="H42" s="197"/>
    </row>
    <row r="43" spans="1:8" x14ac:dyDescent="0.25">
      <c r="A43" s="57">
        <v>37090</v>
      </c>
      <c r="D43" s="198">
        <f>+D42+D41</f>
        <v>14952.129999999997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49" workbookViewId="3">
      <selection activeCell="E53" sqref="E53:E54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7">
        <v>37072</v>
      </c>
      <c r="C5" s="385">
        <v>979244.42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37090</v>
      </c>
      <c r="G7" s="32"/>
      <c r="H7" s="15"/>
      <c r="I7" s="32"/>
      <c r="J7" s="32"/>
    </row>
    <row r="8" spans="1:10" x14ac:dyDescent="0.25">
      <c r="A8" s="254">
        <v>60874</v>
      </c>
      <c r="B8" s="365">
        <v>2939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367">
        <f>14778-18397</f>
        <v>-3619</v>
      </c>
      <c r="G10" s="32"/>
      <c r="H10" s="15"/>
      <c r="I10" s="32"/>
      <c r="J10" s="32"/>
    </row>
    <row r="11" spans="1:10" x14ac:dyDescent="0.25">
      <c r="A11" s="254">
        <v>500251</v>
      </c>
      <c r="B11" s="334">
        <f>10611-10486</f>
        <v>125</v>
      </c>
      <c r="G11" s="32"/>
      <c r="H11" s="15"/>
      <c r="I11" s="32"/>
      <c r="J11" s="32"/>
    </row>
    <row r="12" spans="1:10" x14ac:dyDescent="0.25">
      <c r="A12" s="254">
        <v>500254</v>
      </c>
      <c r="B12" s="334">
        <f>1768-3042</f>
        <v>-1274</v>
      </c>
      <c r="G12" s="32"/>
      <c r="H12" s="15"/>
      <c r="I12" s="32"/>
      <c r="J12" s="32"/>
    </row>
    <row r="13" spans="1:10" x14ac:dyDescent="0.25">
      <c r="A13" s="32">
        <v>500255</v>
      </c>
      <c r="B13" s="334">
        <f>10612-10503</f>
        <v>109</v>
      </c>
      <c r="G13" s="32"/>
      <c r="H13" s="15"/>
      <c r="I13" s="32"/>
      <c r="J13" s="32"/>
    </row>
    <row r="14" spans="1:10" x14ac:dyDescent="0.25">
      <c r="A14" s="32">
        <v>500262</v>
      </c>
      <c r="B14" s="334">
        <f>4421-6917</f>
        <v>-2496</v>
      </c>
      <c r="G14" s="32"/>
      <c r="H14" s="15"/>
      <c r="I14" s="32"/>
      <c r="J14" s="32"/>
    </row>
    <row r="15" spans="1:10" x14ac:dyDescent="0.25">
      <c r="A15" s="291">
        <v>500267</v>
      </c>
      <c r="B15" s="366">
        <f>1068870-1004763</f>
        <v>64107</v>
      </c>
      <c r="G15" s="32"/>
      <c r="H15" s="15"/>
      <c r="I15" s="32"/>
      <c r="J15" s="32"/>
    </row>
    <row r="16" spans="1:10" x14ac:dyDescent="0.25">
      <c r="B16" s="14">
        <f>SUM(B8:B15)</f>
        <v>59891</v>
      </c>
      <c r="G16" s="32"/>
      <c r="H16" s="15"/>
      <c r="I16" s="32"/>
      <c r="J16" s="32"/>
    </row>
    <row r="17" spans="1:10" x14ac:dyDescent="0.25">
      <c r="B17" s="15">
        <f>+B30</f>
        <v>2.77</v>
      </c>
      <c r="C17" s="201">
        <f>+B17*B16</f>
        <v>165898.07</v>
      </c>
      <c r="G17" s="32"/>
      <c r="H17" s="15"/>
      <c r="I17" s="32"/>
      <c r="J17" s="32"/>
    </row>
    <row r="18" spans="1:10" x14ac:dyDescent="0.25">
      <c r="C18" s="342">
        <f>+C17+C5</f>
        <v>1145142.49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89</v>
      </c>
      <c r="G20" s="32"/>
      <c r="H20" s="15"/>
      <c r="I20" s="32"/>
      <c r="J20" s="32"/>
    </row>
    <row r="21" spans="1:10" x14ac:dyDescent="0.25">
      <c r="A21" s="2" t="s">
        <v>76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37072</v>
      </c>
      <c r="C24" s="385">
        <v>275313.71999999997</v>
      </c>
      <c r="G24" s="32"/>
      <c r="H24" s="15"/>
      <c r="I24" s="32"/>
      <c r="J24" s="32"/>
    </row>
    <row r="25" spans="1:10" x14ac:dyDescent="0.25">
      <c r="F25" s="268"/>
      <c r="G25" s="32"/>
      <c r="H25" s="15"/>
      <c r="I25" s="32"/>
      <c r="J25" s="32"/>
    </row>
    <row r="26" spans="1:10" x14ac:dyDescent="0.25">
      <c r="A26" s="57">
        <v>37090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+summary!H4</f>
        <v>2.77</v>
      </c>
      <c r="C30" s="201">
        <f>+B30*B29</f>
        <v>0</v>
      </c>
    </row>
    <row r="31" spans="1:10" x14ac:dyDescent="0.25">
      <c r="C31" s="342">
        <f>+C30+C24</f>
        <v>275313.71999999997</v>
      </c>
      <c r="E31" s="15"/>
    </row>
    <row r="33" spans="1:6" x14ac:dyDescent="0.25">
      <c r="E33" s="273"/>
    </row>
    <row r="34" spans="1:6" x14ac:dyDescent="0.25">
      <c r="A34" s="32" t="s">
        <v>89</v>
      </c>
      <c r="E34" s="15"/>
    </row>
    <row r="35" spans="1:6" x14ac:dyDescent="0.25">
      <c r="A35" s="32" t="s">
        <v>77</v>
      </c>
      <c r="E35" s="15"/>
    </row>
    <row r="38" spans="1:6" x14ac:dyDescent="0.25">
      <c r="A38" s="49">
        <v>37072</v>
      </c>
      <c r="C38" s="385">
        <v>702469.37</v>
      </c>
      <c r="E38" s="15"/>
      <c r="F38" s="268"/>
    </row>
    <row r="40" spans="1:6" x14ac:dyDescent="0.25">
      <c r="A40" s="250">
        <v>37090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4363</v>
      </c>
    </row>
    <row r="43" spans="1:6" x14ac:dyDescent="0.25">
      <c r="A43" s="32">
        <v>500392</v>
      </c>
      <c r="B43" s="258">
        <v>1269</v>
      </c>
    </row>
    <row r="44" spans="1:6" x14ac:dyDescent="0.25">
      <c r="B44" s="14">
        <f>SUM(B41:B43)</f>
        <v>5632</v>
      </c>
    </row>
    <row r="45" spans="1:6" x14ac:dyDescent="0.25">
      <c r="B45" s="201">
        <f>+B30</f>
        <v>2.77</v>
      </c>
      <c r="C45" s="201">
        <f>+B45*B44</f>
        <v>15600.64</v>
      </c>
    </row>
    <row r="46" spans="1:6" x14ac:dyDescent="0.25">
      <c r="C46" s="342">
        <f>+C45+C38</f>
        <v>718070.01</v>
      </c>
      <c r="E46" s="206"/>
    </row>
    <row r="47" spans="1:6" x14ac:dyDescent="0.25">
      <c r="E47" s="217"/>
    </row>
    <row r="48" spans="1:6" x14ac:dyDescent="0.25">
      <c r="E48" s="206"/>
    </row>
    <row r="49" spans="1:9" x14ac:dyDescent="0.25">
      <c r="C49" s="326"/>
      <c r="E49" s="217"/>
    </row>
    <row r="50" spans="1:9" x14ac:dyDescent="0.25">
      <c r="A50" s="32" t="s">
        <v>89</v>
      </c>
      <c r="C50" s="255"/>
    </row>
    <row r="51" spans="1:9" x14ac:dyDescent="0.25">
      <c r="A51" s="32">
        <v>21665</v>
      </c>
      <c r="B51" s="15" t="s">
        <v>143</v>
      </c>
      <c r="C51" s="383">
        <v>73449.16</v>
      </c>
      <c r="D51" s="32" t="s">
        <v>123</v>
      </c>
      <c r="E51" s="50"/>
      <c r="H51" s="335"/>
    </row>
    <row r="52" spans="1:9" x14ac:dyDescent="0.25">
      <c r="A52" s="32">
        <v>22664</v>
      </c>
      <c r="B52" s="15" t="s">
        <v>143</v>
      </c>
      <c r="C52" s="384">
        <v>23612.35</v>
      </c>
      <c r="D52" s="32" t="s">
        <v>124</v>
      </c>
    </row>
    <row r="53" spans="1:9" x14ac:dyDescent="0.25">
      <c r="A53" s="32">
        <v>20248</v>
      </c>
      <c r="B53" s="15" t="s">
        <v>144</v>
      </c>
      <c r="C53" s="332">
        <v>141061.91</v>
      </c>
      <c r="D53" s="15"/>
      <c r="E53" s="15"/>
      <c r="H53" s="333"/>
    </row>
    <row r="54" spans="1:9" x14ac:dyDescent="0.25">
      <c r="A54" s="32">
        <v>25873</v>
      </c>
      <c r="C54" s="332">
        <v>-259</v>
      </c>
      <c r="D54" s="15"/>
      <c r="H54" s="15"/>
    </row>
    <row r="55" spans="1:9" x14ac:dyDescent="0.25">
      <c r="A55" s="32">
        <v>26758</v>
      </c>
      <c r="C55" s="332">
        <v>-596</v>
      </c>
      <c r="D55" s="15"/>
      <c r="H55" s="15"/>
    </row>
    <row r="56" spans="1:9" x14ac:dyDescent="0.25">
      <c r="A56" s="32">
        <v>26372</v>
      </c>
      <c r="C56" s="332">
        <v>2997.09</v>
      </c>
      <c r="D56" s="15"/>
      <c r="H56" s="15"/>
    </row>
    <row r="57" spans="1:9" x14ac:dyDescent="0.25">
      <c r="A57" s="32">
        <v>26700</v>
      </c>
      <c r="C57" s="332">
        <v>4077.9</v>
      </c>
      <c r="D57" s="15"/>
      <c r="H57" s="333"/>
    </row>
    <row r="58" spans="1:9" x14ac:dyDescent="0.25">
      <c r="A58" s="32">
        <v>26422</v>
      </c>
      <c r="C58" s="332">
        <v>8155.8</v>
      </c>
      <c r="D58" s="15"/>
      <c r="H58" s="47"/>
    </row>
    <row r="59" spans="1:9" x14ac:dyDescent="0.25">
      <c r="A59" s="32">
        <v>26661</v>
      </c>
      <c r="C59" s="332">
        <v>146862.35</v>
      </c>
      <c r="D59" s="15"/>
      <c r="H59" s="345"/>
      <c r="I59" s="32"/>
    </row>
    <row r="60" spans="1:9" x14ac:dyDescent="0.25">
      <c r="A60" s="32">
        <v>27291</v>
      </c>
      <c r="C60" s="332">
        <v>-17965</v>
      </c>
      <c r="D60" s="15"/>
    </row>
    <row r="61" spans="1:9" x14ac:dyDescent="0.25">
      <c r="A61" s="32">
        <v>27137</v>
      </c>
      <c r="C61" s="332">
        <v>-67.28</v>
      </c>
      <c r="D61" s="15"/>
    </row>
    <row r="62" spans="1:9" x14ac:dyDescent="0.25">
      <c r="A62" s="32">
        <v>27123</v>
      </c>
      <c r="C62" s="429">
        <v>-6425.19</v>
      </c>
      <c r="D62" s="15"/>
      <c r="G62">
        <v>70169</v>
      </c>
      <c r="H62">
        <v>269686.67</v>
      </c>
    </row>
    <row r="63" spans="1:9" x14ac:dyDescent="0.25">
      <c r="C63" s="333">
        <f>+C18+C31+C46+C51+C52+C53+C54+C55+C56+C57+C58+C59+C60+C61+C62</f>
        <v>2513430.31</v>
      </c>
      <c r="G63">
        <v>3940</v>
      </c>
      <c r="H63">
        <v>8155.8</v>
      </c>
    </row>
    <row r="64" spans="1:9" x14ac:dyDescent="0.25">
      <c r="C64" s="333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B1" sqref="B1"/>
    </sheetView>
  </sheetViews>
  <sheetFormatPr defaultRowHeight="13.2" x14ac:dyDescent="0.25"/>
  <cols>
    <col min="3" max="3" width="9.88671875" bestFit="1" customWidth="1"/>
    <col min="6" max="6" width="12.33203125" bestFit="1" customWidth="1"/>
    <col min="7" max="7" width="9.33203125" bestFit="1" customWidth="1"/>
    <col min="8" max="8" width="12" bestFit="1" customWidth="1"/>
    <col min="9" max="9" width="12.6640625" customWidth="1"/>
  </cols>
  <sheetData>
    <row r="1" spans="1:10" x14ac:dyDescent="0.25">
      <c r="A1" s="54"/>
      <c r="B1" s="330">
        <v>23995</v>
      </c>
      <c r="C1" s="236"/>
      <c r="D1" s="329">
        <v>22051</v>
      </c>
      <c r="F1" s="2">
        <v>22051</v>
      </c>
      <c r="H1" s="118"/>
    </row>
    <row r="2" spans="1:10" x14ac:dyDescent="0.25">
      <c r="B2" s="12">
        <v>59687</v>
      </c>
      <c r="D2" s="12">
        <v>10703</v>
      </c>
      <c r="E2" s="4"/>
      <c r="F2" s="12">
        <v>78169</v>
      </c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5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v>5859</v>
      </c>
      <c r="G4" s="11">
        <v>5072</v>
      </c>
      <c r="H4" s="11">
        <f>+E4+C4-D4-B4+G4-F4</f>
        <v>-1997</v>
      </c>
      <c r="I4" s="11"/>
      <c r="J4" s="24"/>
    </row>
    <row r="5" spans="1:10" x14ac:dyDescent="0.25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v>5831</v>
      </c>
      <c r="G5" s="11">
        <v>5129</v>
      </c>
      <c r="H5" s="11">
        <f t="shared" ref="H5:H34" si="0">+E5+C5-D5-B5+G5-F5</f>
        <v>-1834</v>
      </c>
      <c r="I5" s="11"/>
      <c r="J5" s="24"/>
    </row>
    <row r="6" spans="1:10" x14ac:dyDescent="0.25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v>5360</v>
      </c>
      <c r="G6" s="11">
        <v>5129</v>
      </c>
      <c r="H6" s="11">
        <f t="shared" si="0"/>
        <v>-881</v>
      </c>
      <c r="I6" s="11"/>
      <c r="J6" s="24"/>
    </row>
    <row r="7" spans="1:10" x14ac:dyDescent="0.25">
      <c r="A7" s="10">
        <v>4</v>
      </c>
      <c r="B7" s="11"/>
      <c r="C7" s="11"/>
      <c r="D7" s="129">
        <v>24663</v>
      </c>
      <c r="E7" s="11">
        <v>24000</v>
      </c>
      <c r="F7" s="11">
        <v>5420</v>
      </c>
      <c r="G7" s="11">
        <v>5126</v>
      </c>
      <c r="H7" s="11">
        <f t="shared" si="0"/>
        <v>-957</v>
      </c>
      <c r="I7" s="11"/>
      <c r="J7" s="24"/>
    </row>
    <row r="8" spans="1:10" x14ac:dyDescent="0.25">
      <c r="A8" s="10">
        <v>5</v>
      </c>
      <c r="B8" s="11"/>
      <c r="C8" s="11"/>
      <c r="D8" s="11">
        <v>24668</v>
      </c>
      <c r="E8" s="11">
        <v>24000</v>
      </c>
      <c r="F8" s="11">
        <v>5484</v>
      </c>
      <c r="G8" s="11">
        <v>5124</v>
      </c>
      <c r="H8" s="11">
        <f t="shared" si="0"/>
        <v>-1028</v>
      </c>
      <c r="I8" s="11"/>
      <c r="J8" s="24"/>
    </row>
    <row r="9" spans="1:10" x14ac:dyDescent="0.25">
      <c r="A9" s="10">
        <v>6</v>
      </c>
      <c r="B9" s="11"/>
      <c r="C9" s="11"/>
      <c r="D9" s="11">
        <v>24503</v>
      </c>
      <c r="E9" s="11">
        <v>24000</v>
      </c>
      <c r="F9" s="11">
        <v>5429</v>
      </c>
      <c r="G9" s="11">
        <v>5129</v>
      </c>
      <c r="H9" s="11">
        <f t="shared" si="0"/>
        <v>-803</v>
      </c>
      <c r="I9" s="11"/>
      <c r="J9" s="24"/>
    </row>
    <row r="10" spans="1:10" x14ac:dyDescent="0.25">
      <c r="A10" s="10">
        <v>7</v>
      </c>
      <c r="B10" s="11"/>
      <c r="C10" s="11"/>
      <c r="D10" s="11">
        <v>24451</v>
      </c>
      <c r="E10" s="11">
        <v>23999</v>
      </c>
      <c r="F10" s="108">
        <v>5242</v>
      </c>
      <c r="G10" s="11">
        <v>5129</v>
      </c>
      <c r="H10" s="11">
        <f t="shared" si="0"/>
        <v>-565</v>
      </c>
      <c r="I10" s="11"/>
      <c r="J10" s="24"/>
    </row>
    <row r="11" spans="1:10" x14ac:dyDescent="0.25">
      <c r="A11" s="10">
        <v>8</v>
      </c>
      <c r="B11" s="11"/>
      <c r="C11" s="11"/>
      <c r="D11" s="11">
        <v>24468</v>
      </c>
      <c r="E11" s="11">
        <v>23999</v>
      </c>
      <c r="F11" s="11">
        <v>5480</v>
      </c>
      <c r="G11" s="11">
        <v>5129</v>
      </c>
      <c r="H11" s="11">
        <f t="shared" si="0"/>
        <v>-820</v>
      </c>
      <c r="I11" s="11"/>
      <c r="J11" s="24"/>
    </row>
    <row r="12" spans="1:10" x14ac:dyDescent="0.25">
      <c r="A12" s="10">
        <v>9</v>
      </c>
      <c r="B12" s="11"/>
      <c r="C12" s="11"/>
      <c r="D12" s="11">
        <v>24443</v>
      </c>
      <c r="E12" s="11">
        <v>23999</v>
      </c>
      <c r="F12" s="11">
        <v>5410</v>
      </c>
      <c r="G12" s="11">
        <v>5129</v>
      </c>
      <c r="H12" s="11">
        <f t="shared" si="0"/>
        <v>-725</v>
      </c>
      <c r="I12" s="11"/>
      <c r="J12" s="24"/>
    </row>
    <row r="13" spans="1:10" x14ac:dyDescent="0.25">
      <c r="A13" s="10">
        <v>10</v>
      </c>
      <c r="B13" s="11"/>
      <c r="C13" s="11"/>
      <c r="D13" s="11">
        <v>24497</v>
      </c>
      <c r="E13" s="11">
        <v>24000</v>
      </c>
      <c r="F13" s="11">
        <v>5394</v>
      </c>
      <c r="G13" s="11">
        <v>5129</v>
      </c>
      <c r="H13" s="11">
        <f t="shared" si="0"/>
        <v>-762</v>
      </c>
      <c r="I13" s="11"/>
      <c r="J13" s="24"/>
    </row>
    <row r="14" spans="1:10" x14ac:dyDescent="0.25">
      <c r="A14" s="10">
        <v>11</v>
      </c>
      <c r="B14" s="11"/>
      <c r="C14" s="11"/>
      <c r="D14" s="11">
        <v>24479</v>
      </c>
      <c r="E14" s="11">
        <v>24000</v>
      </c>
      <c r="F14" s="11">
        <v>5664</v>
      </c>
      <c r="G14" s="11">
        <v>5129</v>
      </c>
      <c r="H14" s="11">
        <f t="shared" si="0"/>
        <v>-1014</v>
      </c>
      <c r="I14" s="11"/>
      <c r="J14" s="24"/>
    </row>
    <row r="15" spans="1:10" x14ac:dyDescent="0.25">
      <c r="A15" s="10">
        <v>12</v>
      </c>
      <c r="B15" s="11"/>
      <c r="C15" s="11"/>
      <c r="D15" s="11">
        <v>24472</v>
      </c>
      <c r="E15" s="11">
        <v>24000</v>
      </c>
      <c r="F15" s="11">
        <v>5778</v>
      </c>
      <c r="G15" s="11">
        <v>5129</v>
      </c>
      <c r="H15" s="11">
        <f t="shared" si="0"/>
        <v>-1121</v>
      </c>
      <c r="I15" s="11"/>
      <c r="J15" s="24"/>
    </row>
    <row r="16" spans="1:10" x14ac:dyDescent="0.25">
      <c r="A16" s="10">
        <v>13</v>
      </c>
      <c r="B16" s="11"/>
      <c r="C16" s="11"/>
      <c r="D16" s="11">
        <v>24489</v>
      </c>
      <c r="E16" s="11">
        <v>24000</v>
      </c>
      <c r="F16" s="11">
        <v>5753</v>
      </c>
      <c r="G16" s="11">
        <v>5129</v>
      </c>
      <c r="H16" s="11">
        <f t="shared" si="0"/>
        <v>-1113</v>
      </c>
      <c r="I16" s="11"/>
      <c r="J16" s="24"/>
    </row>
    <row r="17" spans="1:10" x14ac:dyDescent="0.25">
      <c r="A17" s="10">
        <v>14</v>
      </c>
      <c r="B17" s="11"/>
      <c r="C17" s="11"/>
      <c r="D17" s="11">
        <v>24484</v>
      </c>
      <c r="E17" s="11">
        <v>23536</v>
      </c>
      <c r="F17" s="11">
        <v>5619</v>
      </c>
      <c r="G17" s="11">
        <v>5129</v>
      </c>
      <c r="H17" s="11">
        <f t="shared" si="0"/>
        <v>-1438</v>
      </c>
      <c r="I17" s="11"/>
      <c r="J17" s="24"/>
    </row>
    <row r="18" spans="1:10" x14ac:dyDescent="0.25">
      <c r="A18" s="10">
        <v>15</v>
      </c>
      <c r="B18" s="11">
        <v>1</v>
      </c>
      <c r="C18" s="11"/>
      <c r="D18" s="11">
        <v>23245</v>
      </c>
      <c r="E18" s="11">
        <v>20840</v>
      </c>
      <c r="F18" s="11">
        <v>5765</v>
      </c>
      <c r="G18" s="11">
        <v>5129</v>
      </c>
      <c r="H18" s="11">
        <f t="shared" si="0"/>
        <v>-3042</v>
      </c>
      <c r="I18" s="11"/>
      <c r="J18" s="24"/>
    </row>
    <row r="19" spans="1:10" x14ac:dyDescent="0.25">
      <c r="A19" s="10">
        <v>16</v>
      </c>
      <c r="B19" s="11">
        <v>16</v>
      </c>
      <c r="C19" s="11"/>
      <c r="D19" s="11">
        <v>22510</v>
      </c>
      <c r="E19" s="11">
        <v>23536</v>
      </c>
      <c r="F19" s="11">
        <v>5860</v>
      </c>
      <c r="G19" s="11">
        <v>5129</v>
      </c>
      <c r="H19" s="11">
        <f t="shared" si="0"/>
        <v>279</v>
      </c>
      <c r="I19" s="11"/>
      <c r="J19" s="24"/>
    </row>
    <row r="20" spans="1:10" x14ac:dyDescent="0.25">
      <c r="A20" s="10">
        <v>17</v>
      </c>
      <c r="B20" s="11"/>
      <c r="C20" s="11"/>
      <c r="D20" s="11">
        <v>22450</v>
      </c>
      <c r="E20" s="11">
        <v>24000</v>
      </c>
      <c r="F20" s="11">
        <v>5860</v>
      </c>
      <c r="G20" s="11">
        <v>5129</v>
      </c>
      <c r="H20" s="11">
        <f t="shared" si="0"/>
        <v>819</v>
      </c>
      <c r="I20" s="11"/>
      <c r="J20" s="24"/>
    </row>
    <row r="21" spans="1:10" x14ac:dyDescent="0.25">
      <c r="A21" s="10">
        <v>18</v>
      </c>
      <c r="B21" s="129"/>
      <c r="C21" s="11"/>
      <c r="D21" s="11">
        <v>20394</v>
      </c>
      <c r="E21" s="11">
        <v>24000</v>
      </c>
      <c r="F21" s="11">
        <v>4806</v>
      </c>
      <c r="G21" s="11">
        <v>5129</v>
      </c>
      <c r="H21" s="11">
        <f t="shared" si="0"/>
        <v>3929</v>
      </c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H22" s="11">
        <f t="shared" si="0"/>
        <v>0</v>
      </c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H23" s="11">
        <f t="shared" si="0"/>
        <v>0</v>
      </c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H24" s="11">
        <f t="shared" si="0"/>
        <v>0</v>
      </c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0" x14ac:dyDescent="0.25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24"/>
    </row>
    <row r="34" spans="1:10" x14ac:dyDescent="0.25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24"/>
    </row>
    <row r="35" spans="1:10" x14ac:dyDescent="0.25">
      <c r="A35" s="10"/>
      <c r="B35" s="11">
        <f t="shared" ref="B35:H35" si="1">SUM(B4:B34)</f>
        <v>17</v>
      </c>
      <c r="C35" s="11">
        <f t="shared" si="1"/>
        <v>0</v>
      </c>
      <c r="D35" s="11">
        <f t="shared" si="1"/>
        <v>432204</v>
      </c>
      <c r="E35" s="11">
        <f t="shared" si="1"/>
        <v>426905</v>
      </c>
      <c r="F35" s="11">
        <f t="shared" si="1"/>
        <v>100014</v>
      </c>
      <c r="G35" s="11">
        <f t="shared" si="1"/>
        <v>92257</v>
      </c>
      <c r="H35" s="11">
        <f t="shared" si="1"/>
        <v>-13073</v>
      </c>
      <c r="I35" s="11"/>
      <c r="J35" s="11"/>
    </row>
    <row r="36" spans="1:10" x14ac:dyDescent="0.25">
      <c r="C36" s="25">
        <f>+C35-B35</f>
        <v>-17</v>
      </c>
      <c r="E36" s="25"/>
      <c r="H36" s="25">
        <f>+E36+C36</f>
        <v>-17</v>
      </c>
    </row>
    <row r="37" spans="1:10" x14ac:dyDescent="0.25">
      <c r="C37" s="331">
        <f>+summary!H5</f>
        <v>2.96</v>
      </c>
      <c r="E37" s="331"/>
      <c r="H37" s="331">
        <f>+E37</f>
        <v>0</v>
      </c>
    </row>
    <row r="38" spans="1:10" x14ac:dyDescent="0.25">
      <c r="C38" s="138">
        <f>+C37*C36</f>
        <v>-50.32</v>
      </c>
      <c r="E38" s="138"/>
      <c r="H38" s="138">
        <f>+H37*H36</f>
        <v>0</v>
      </c>
    </row>
    <row r="39" spans="1:10" x14ac:dyDescent="0.25">
      <c r="A39" s="57">
        <v>37072</v>
      </c>
      <c r="B39" s="2" t="s">
        <v>46</v>
      </c>
      <c r="C39" s="378">
        <v>-1023092.89</v>
      </c>
      <c r="D39" s="341"/>
      <c r="E39" s="378"/>
      <c r="G39" s="378">
        <v>-436546.2</v>
      </c>
      <c r="H39" s="340">
        <f>+G39+C39</f>
        <v>-1459639.09</v>
      </c>
      <c r="I39" s="51"/>
      <c r="J39" s="24">
        <f>+H39+H44+H45+H46+H47+H48+H49</f>
        <v>-2125227.56</v>
      </c>
    </row>
    <row r="40" spans="1:10" x14ac:dyDescent="0.25">
      <c r="A40" s="57">
        <v>37090</v>
      </c>
      <c r="B40" s="2" t="s">
        <v>46</v>
      </c>
      <c r="C40" s="332">
        <f>+C39+C38</f>
        <v>-1023143.21</v>
      </c>
      <c r="D40" s="260"/>
      <c r="E40" s="332"/>
      <c r="G40" s="332">
        <f>+G39+G38</f>
        <v>-436546.2</v>
      </c>
      <c r="H40" s="332">
        <f>+H39+H38</f>
        <v>-1459639.09</v>
      </c>
      <c r="I40" s="131"/>
      <c r="J40" s="131">
        <f>+Duke!C5+Duke!C24+Duke!C38+Duke!C51+Duke!C52+Duke!C53+Duke!C54+Duke!C55+Duke!C56+Duke!C57+Duke!C58+Duke!C59+Duke!C60+Duke!C62</f>
        <v>2331998.88</v>
      </c>
    </row>
    <row r="41" spans="1:10" x14ac:dyDescent="0.25">
      <c r="C41" s="352"/>
      <c r="D41" s="251"/>
      <c r="E41" s="251"/>
      <c r="H41" s="251"/>
      <c r="I41" s="251"/>
      <c r="J41" s="31"/>
    </row>
    <row r="42" spans="1:10" x14ac:dyDescent="0.25">
      <c r="C42" s="251"/>
      <c r="D42" s="251"/>
      <c r="E42" s="251"/>
      <c r="H42" s="273"/>
      <c r="I42" s="251"/>
    </row>
    <row r="43" spans="1:10" x14ac:dyDescent="0.25">
      <c r="C43" s="251"/>
      <c r="D43" s="251"/>
      <c r="E43" s="12" t="s">
        <v>115</v>
      </c>
      <c r="H43" s="273"/>
      <c r="I43" s="251"/>
    </row>
    <row r="44" spans="1:10" x14ac:dyDescent="0.25">
      <c r="C44" s="251"/>
      <c r="D44" s="251"/>
      <c r="E44" s="12">
        <v>22864</v>
      </c>
      <c r="H44" s="385">
        <v>-58339.66</v>
      </c>
      <c r="I44" s="255" t="s">
        <v>49</v>
      </c>
    </row>
    <row r="45" spans="1:10" x14ac:dyDescent="0.25">
      <c r="C45" s="251"/>
      <c r="D45" s="251"/>
      <c r="E45" s="12">
        <v>20379</v>
      </c>
      <c r="H45" s="385">
        <v>-51695.87</v>
      </c>
      <c r="I45" s="255" t="s">
        <v>126</v>
      </c>
    </row>
    <row r="46" spans="1:10" x14ac:dyDescent="0.25">
      <c r="C46" s="251"/>
      <c r="D46" s="251"/>
      <c r="E46" s="12">
        <v>21459</v>
      </c>
      <c r="H46" s="385">
        <v>10570.56</v>
      </c>
      <c r="I46" s="251"/>
    </row>
    <row r="47" spans="1:10" x14ac:dyDescent="0.25">
      <c r="C47" s="251"/>
      <c r="D47" s="251"/>
      <c r="E47" s="12">
        <v>26357</v>
      </c>
      <c r="H47" s="385">
        <v>44144.84</v>
      </c>
      <c r="I47" s="255" t="s">
        <v>127</v>
      </c>
    </row>
    <row r="48" spans="1:10" x14ac:dyDescent="0.25">
      <c r="C48" s="251"/>
      <c r="D48" s="251"/>
      <c r="E48" s="12">
        <v>21544</v>
      </c>
      <c r="H48" s="385">
        <v>61340.160000000003</v>
      </c>
      <c r="I48" s="255" t="s">
        <v>128</v>
      </c>
    </row>
    <row r="49" spans="3:9" x14ac:dyDescent="0.25">
      <c r="C49" s="251"/>
      <c r="D49" s="251"/>
      <c r="E49" s="12">
        <v>24532</v>
      </c>
      <c r="H49" s="384">
        <v>-671608.5</v>
      </c>
      <c r="I49" s="255" t="s">
        <v>125</v>
      </c>
    </row>
    <row r="50" spans="3:9" x14ac:dyDescent="0.25">
      <c r="C50" s="251"/>
      <c r="D50" s="251"/>
      <c r="H50" s="353">
        <f>SUM(H40:H49)</f>
        <v>-2125227.56</v>
      </c>
      <c r="I50" s="251"/>
    </row>
    <row r="51" spans="3:9" x14ac:dyDescent="0.25">
      <c r="C51" s="251"/>
      <c r="D51" s="251"/>
      <c r="H51" s="251"/>
      <c r="I51" s="251"/>
    </row>
    <row r="52" spans="3:9" x14ac:dyDescent="0.25">
      <c r="E52" s="2" t="s">
        <v>145</v>
      </c>
      <c r="H52" s="138">
        <f>+Duke!C63</f>
        <v>2513430.31</v>
      </c>
    </row>
    <row r="54" spans="3:9" x14ac:dyDescent="0.25">
      <c r="H54" s="104">
        <f>+H52+H50</f>
        <v>388202.75</v>
      </c>
    </row>
    <row r="60" spans="3:9" x14ac:dyDescent="0.25">
      <c r="H60" s="259"/>
    </row>
    <row r="61" spans="3:9" x14ac:dyDescent="0.25">
      <c r="H61" s="259"/>
    </row>
    <row r="62" spans="3:9" x14ac:dyDescent="0.25">
      <c r="H62" s="259"/>
    </row>
    <row r="63" spans="3:9" x14ac:dyDescent="0.25">
      <c r="H63" s="371"/>
    </row>
    <row r="64" spans="3:9" x14ac:dyDescent="0.25">
      <c r="F64" s="371"/>
    </row>
    <row r="65" spans="6:6" x14ac:dyDescent="0.25">
      <c r="F65" s="371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16" sqref="G16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1">
        <v>1126</v>
      </c>
      <c r="G12" s="11">
        <v>1277</v>
      </c>
      <c r="H12" s="11">
        <v>1704</v>
      </c>
      <c r="I12" s="11">
        <v>1699</v>
      </c>
      <c r="J12" s="25">
        <f t="shared" si="0"/>
        <v>146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>
        <v>1115</v>
      </c>
      <c r="G14" s="11">
        <v>1277</v>
      </c>
      <c r="H14" s="11">
        <v>1674</v>
      </c>
      <c r="I14" s="129">
        <v>1699</v>
      </c>
      <c r="J14" s="25">
        <f t="shared" si="0"/>
        <v>187</v>
      </c>
      <c r="K14" s="10"/>
      <c r="L14" s="11"/>
      <c r="M14" s="11"/>
      <c r="N14" s="11"/>
      <c r="O14" s="11"/>
      <c r="P14" s="11"/>
      <c r="Q14" s="11"/>
      <c r="R14" s="123"/>
      <c r="S14" s="290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0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>
        <v>1078</v>
      </c>
      <c r="G16" s="11">
        <v>1277</v>
      </c>
      <c r="H16" s="11">
        <v>1649</v>
      </c>
      <c r="I16" s="11">
        <v>1699</v>
      </c>
      <c r="J16" s="25">
        <f t="shared" si="0"/>
        <v>249</v>
      </c>
      <c r="K16" s="10"/>
      <c r="L16" s="11"/>
      <c r="M16" s="11"/>
      <c r="N16" s="11"/>
      <c r="O16" s="11"/>
      <c r="P16" s="11"/>
      <c r="Q16" s="11"/>
      <c r="R16" s="123"/>
      <c r="S16" s="290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0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>
        <v>998</v>
      </c>
      <c r="G18" s="11">
        <v>1277</v>
      </c>
      <c r="H18" s="11">
        <v>1605</v>
      </c>
      <c r="I18" s="11">
        <v>1699</v>
      </c>
      <c r="J18" s="25">
        <f t="shared" si="0"/>
        <v>373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>
        <v>1134</v>
      </c>
      <c r="G19" s="11">
        <v>639</v>
      </c>
      <c r="H19" s="11">
        <v>851</v>
      </c>
      <c r="I19" s="11">
        <v>1699</v>
      </c>
      <c r="J19" s="25">
        <f t="shared" si="0"/>
        <v>353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>
        <v>1072</v>
      </c>
      <c r="G20" s="11">
        <v>1277</v>
      </c>
      <c r="H20" s="11">
        <v>1554</v>
      </c>
      <c r="I20" s="11">
        <v>1699</v>
      </c>
      <c r="J20" s="25">
        <f t="shared" si="0"/>
        <v>350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>
        <v>1064</v>
      </c>
      <c r="G21" s="11">
        <v>1277</v>
      </c>
      <c r="H21" s="11">
        <v>1078</v>
      </c>
      <c r="I21" s="11">
        <v>1699</v>
      </c>
      <c r="J21" s="25">
        <f t="shared" si="0"/>
        <v>834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>
        <v>1054</v>
      </c>
      <c r="G22" s="11">
        <v>1277</v>
      </c>
      <c r="H22" s="11">
        <v>1027</v>
      </c>
      <c r="I22" s="11">
        <v>1699</v>
      </c>
      <c r="J22" s="25">
        <f t="shared" si="0"/>
        <v>895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>
        <v>912</v>
      </c>
      <c r="G23" s="11">
        <v>1277</v>
      </c>
      <c r="H23" s="11">
        <v>1</v>
      </c>
      <c r="I23" s="11">
        <v>1699</v>
      </c>
      <c r="J23" s="25">
        <f t="shared" si="0"/>
        <v>2063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>
        <v>1057</v>
      </c>
      <c r="G24" s="11">
        <v>1277</v>
      </c>
      <c r="H24" s="11"/>
      <c r="I24" s="11">
        <v>1699</v>
      </c>
      <c r="J24" s="25">
        <f t="shared" si="0"/>
        <v>1919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>
        <v>1095</v>
      </c>
      <c r="G25" s="11">
        <v>1277</v>
      </c>
      <c r="H25" s="11"/>
      <c r="I25" s="11">
        <v>1699</v>
      </c>
      <c r="J25" s="25">
        <f t="shared" si="0"/>
        <v>1881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19560</v>
      </c>
      <c r="G39" s="11">
        <f t="shared" si="1"/>
        <v>22314</v>
      </c>
      <c r="H39" s="11">
        <f t="shared" si="1"/>
        <v>23155</v>
      </c>
      <c r="I39" s="11">
        <f t="shared" si="1"/>
        <v>30552</v>
      </c>
      <c r="J39" s="25">
        <f t="shared" si="1"/>
        <v>10151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1">
        <f>+summary!H4</f>
        <v>2.77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28118.27</v>
      </c>
      <c r="L41"/>
      <c r="R41" s="138"/>
      <c r="X41" s="138"/>
    </row>
    <row r="42" spans="1:24" x14ac:dyDescent="0.25">
      <c r="A42" s="57">
        <v>37072</v>
      </c>
      <c r="C42" s="15"/>
      <c r="J42" s="375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37090</v>
      </c>
      <c r="C43" s="48"/>
      <c r="J43" s="138">
        <f>+J42+J41</f>
        <v>376903.56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8" workbookViewId="3">
      <selection activeCell="A44" sqref="A44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148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12031</v>
      </c>
      <c r="C17" s="11">
        <v>10913</v>
      </c>
      <c r="D17" s="11">
        <v>-2</v>
      </c>
      <c r="E17" s="11"/>
      <c r="F17" s="25">
        <f t="shared" si="0"/>
        <v>-1116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11355</v>
      </c>
      <c r="C18" s="11">
        <v>10913</v>
      </c>
      <c r="D18" s="11"/>
      <c r="E18" s="11"/>
      <c r="F18" s="25">
        <f t="shared" si="0"/>
        <v>-442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10931</v>
      </c>
      <c r="C19" s="11">
        <v>10912</v>
      </c>
      <c r="D19" s="11"/>
      <c r="E19" s="11"/>
      <c r="F19" s="25">
        <f t="shared" si="0"/>
        <v>-19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11220</v>
      </c>
      <c r="C20" s="11">
        <v>10903</v>
      </c>
      <c r="D20" s="11"/>
      <c r="E20" s="11"/>
      <c r="F20" s="25">
        <f t="shared" si="0"/>
        <v>-317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11376</v>
      </c>
      <c r="C21" s="11">
        <v>10730</v>
      </c>
      <c r="D21" s="11"/>
      <c r="E21" s="11"/>
      <c r="F21" s="25">
        <f t="shared" si="0"/>
        <v>-646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11218</v>
      </c>
      <c r="C22" s="11">
        <v>10362</v>
      </c>
      <c r="D22" s="11"/>
      <c r="E22" s="11"/>
      <c r="F22" s="25">
        <f t="shared" si="0"/>
        <v>-856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11351</v>
      </c>
      <c r="C23" s="11">
        <v>10741</v>
      </c>
      <c r="D23" s="11"/>
      <c r="E23" s="11"/>
      <c r="F23" s="25">
        <f t="shared" si="0"/>
        <v>-610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11364</v>
      </c>
      <c r="C24" s="11">
        <v>10719</v>
      </c>
      <c r="D24" s="11"/>
      <c r="E24" s="11"/>
      <c r="F24" s="25">
        <f t="shared" si="0"/>
        <v>-645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11172</v>
      </c>
      <c r="C25" s="11">
        <v>10692</v>
      </c>
      <c r="D25" s="11">
        <v>-45</v>
      </c>
      <c r="E25" s="11"/>
      <c r="F25" s="25">
        <f t="shared" si="0"/>
        <v>-435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211144</v>
      </c>
      <c r="C39" s="11">
        <f>SUM(C8:C38)</f>
        <v>193888</v>
      </c>
      <c r="D39" s="11">
        <f>SUM(D8:D38)</f>
        <v>-3629</v>
      </c>
      <c r="E39" s="11">
        <f>SUM(E8:E38)</f>
        <v>0</v>
      </c>
      <c r="F39" s="11">
        <f>SUM(F8:F38)</f>
        <v>-13627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2.77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-37746.79</v>
      </c>
      <c r="J41" s="138"/>
      <c r="N41" s="138"/>
      <c r="R41" s="138"/>
      <c r="V41" s="138"/>
      <c r="Z41" s="138"/>
    </row>
    <row r="42" spans="1:26" x14ac:dyDescent="0.25">
      <c r="A42" s="57">
        <v>37072</v>
      </c>
      <c r="C42" s="15"/>
      <c r="D42" s="15"/>
      <c r="E42" s="15"/>
      <c r="F42" s="379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37090</v>
      </c>
      <c r="C43" s="48"/>
      <c r="D43" s="48"/>
      <c r="E43" s="48"/>
      <c r="F43" s="110">
        <f>+F42+F41</f>
        <v>505133.08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24" workbookViewId="2">
      <selection activeCell="G40" sqref="G40"/>
    </sheetView>
    <sheetView tabSelected="1" workbookViewId="3">
      <selection activeCell="G10" sqref="G10"/>
    </sheetView>
  </sheetViews>
  <sheetFormatPr defaultRowHeight="13.2" x14ac:dyDescent="0.25"/>
  <cols>
    <col min="1" max="1" width="16.44140625" style="296" customWidth="1"/>
    <col min="2" max="2" width="9.88671875" style="253" bestFit="1" customWidth="1"/>
    <col min="3" max="3" width="9.33203125" style="297" customWidth="1"/>
    <col min="4" max="4" width="5.109375" style="7" customWidth="1"/>
    <col min="5" max="5" width="11.109375" bestFit="1" customWidth="1"/>
    <col min="6" max="6" width="12.88671875" bestFit="1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9" t="s">
        <v>147</v>
      </c>
      <c r="G2" s="415" t="s">
        <v>81</v>
      </c>
      <c r="H2" s="391"/>
    </row>
    <row r="3" spans="1:32" ht="15" customHeight="1" x14ac:dyDescent="0.25">
      <c r="G3" s="301" t="s">
        <v>30</v>
      </c>
      <c r="H3" s="390">
        <f>+'[1]0701'!$K$39</f>
        <v>2.42</v>
      </c>
    </row>
    <row r="4" spans="1:32" ht="15" customHeight="1" x14ac:dyDescent="0.25">
      <c r="A4" s="34" t="s">
        <v>168</v>
      </c>
      <c r="C4" s="34" t="s">
        <v>5</v>
      </c>
      <c r="G4" s="302" t="s">
        <v>31</v>
      </c>
      <c r="H4" s="303">
        <f>+'[1]0701'!$M$39</f>
        <v>2.77</v>
      </c>
    </row>
    <row r="5" spans="1:32" ht="15" customHeight="1" x14ac:dyDescent="0.25">
      <c r="G5" s="301" t="s">
        <v>120</v>
      </c>
      <c r="H5" s="390">
        <f>+'[1]0701'!$H$39</f>
        <v>2.96</v>
      </c>
    </row>
    <row r="6" spans="1:32" ht="15" customHeight="1" x14ac:dyDescent="0.25"/>
    <row r="7" spans="1:32" ht="15" customHeight="1" x14ac:dyDescent="0.25">
      <c r="A7" s="359" t="s">
        <v>92</v>
      </c>
      <c r="B7" s="360" t="s">
        <v>17</v>
      </c>
      <c r="C7" s="361" t="s">
        <v>0</v>
      </c>
      <c r="D7" s="5" t="s">
        <v>169</v>
      </c>
      <c r="E7" s="359" t="s">
        <v>93</v>
      </c>
      <c r="F7" s="362" t="s">
        <v>104</v>
      </c>
      <c r="G7" s="359" t="s">
        <v>101</v>
      </c>
    </row>
    <row r="8" spans="1:32" ht="15" customHeight="1" x14ac:dyDescent="0.25">
      <c r="A8" s="392" t="s">
        <v>90</v>
      </c>
      <c r="B8" s="393">
        <f>+NNG!$D$24</f>
        <v>838400.95</v>
      </c>
      <c r="C8" s="286">
        <f>+B8/$H$4</f>
        <v>302671.82310469315</v>
      </c>
      <c r="D8" s="416">
        <f>+NNG!A24</f>
        <v>37090</v>
      </c>
      <c r="E8" s="206" t="s">
        <v>88</v>
      </c>
      <c r="F8" s="206" t="s">
        <v>103</v>
      </c>
      <c r="G8" s="32" t="s">
        <v>159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392" t="s">
        <v>29</v>
      </c>
      <c r="B9" s="393">
        <f>+C9*$H$3</f>
        <v>778572.08</v>
      </c>
      <c r="C9" s="286">
        <f>+williams!J40</f>
        <v>321724</v>
      </c>
      <c r="D9" s="416">
        <f>+williams!A40</f>
        <v>37090</v>
      </c>
      <c r="E9" s="206" t="s">
        <v>87</v>
      </c>
      <c r="F9" s="206" t="s">
        <v>167</v>
      </c>
      <c r="G9" s="32" t="s">
        <v>154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4" t="s">
        <v>24</v>
      </c>
      <c r="B10" s="395">
        <f>+'Red C'!$F$43</f>
        <v>644848.80000000005</v>
      </c>
      <c r="C10" s="396">
        <f>+B10/$H$3</f>
        <v>266466.44628099177</v>
      </c>
      <c r="D10" s="416">
        <f>+'Red C'!B43</f>
        <v>37090</v>
      </c>
      <c r="E10" s="32" t="s">
        <v>88</v>
      </c>
      <c r="F10" s="32" t="s">
        <v>118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4" t="s">
        <v>83</v>
      </c>
      <c r="B11" s="393">
        <f>+Conoco!$F$41</f>
        <v>547262.94999999995</v>
      </c>
      <c r="C11" s="286">
        <f>+B11/$H$4</f>
        <v>197567.85198555954</v>
      </c>
      <c r="D11" s="416">
        <f>+Conoco!A41</f>
        <v>37090</v>
      </c>
      <c r="E11" s="32" t="s">
        <v>88</v>
      </c>
      <c r="F11" s="32" t="s">
        <v>116</v>
      </c>
      <c r="G11" s="32" t="s">
        <v>155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4" t="s">
        <v>110</v>
      </c>
      <c r="B12" s="393">
        <f>+KN_Westar!F41</f>
        <v>524235.18999999994</v>
      </c>
      <c r="C12" s="286">
        <f>+B12/$H$4</f>
        <v>189254.58122743681</v>
      </c>
      <c r="D12" s="417">
        <f>+KN_Westar!A41</f>
        <v>37090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4" t="s">
        <v>3</v>
      </c>
      <c r="B13" s="393">
        <f>+'Amoco Abo'!$F$43</f>
        <v>505133.08</v>
      </c>
      <c r="C13" s="286">
        <f>+B13/$H$4</f>
        <v>182358.51263537907</v>
      </c>
      <c r="D13" s="417">
        <f>+'Amoco Abo'!A43</f>
        <v>37090</v>
      </c>
      <c r="E13" s="32" t="s">
        <v>88</v>
      </c>
      <c r="F13" s="32" t="s">
        <v>118</v>
      </c>
      <c r="G13" s="32" t="s">
        <v>160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392" t="s">
        <v>33</v>
      </c>
      <c r="B14" s="393">
        <f>+C14*$H$4</f>
        <v>473786.34</v>
      </c>
      <c r="C14" s="208">
        <f>+SoCal!F40</f>
        <v>171042</v>
      </c>
      <c r="D14" s="416">
        <f>+SoCal!A40</f>
        <v>37090</v>
      </c>
      <c r="E14" s="206" t="s">
        <v>87</v>
      </c>
      <c r="F14" s="206" t="s">
        <v>105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4" t="s">
        <v>85</v>
      </c>
      <c r="B15" s="393">
        <f>+PNM!$D$23</f>
        <v>437920.28</v>
      </c>
      <c r="C15" s="286">
        <f>+B15/$H$4</f>
        <v>158093.96389891699</v>
      </c>
      <c r="D15" s="417">
        <f>+PNM!A23</f>
        <v>37090</v>
      </c>
      <c r="E15" s="32" t="s">
        <v>88</v>
      </c>
      <c r="F15" s="32" t="s">
        <v>118</v>
      </c>
      <c r="G15" s="32" t="s">
        <v>157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5">
      <c r="A16" s="254" t="s">
        <v>131</v>
      </c>
      <c r="B16" s="393">
        <f>+DEFS!H54</f>
        <v>388202.75</v>
      </c>
      <c r="C16" s="208">
        <f>+B16/$H$4</f>
        <v>140145.39711191336</v>
      </c>
      <c r="D16" s="417">
        <f>+DEFS!A40</f>
        <v>37090</v>
      </c>
      <c r="E16" s="32" t="s">
        <v>88</v>
      </c>
      <c r="F16" s="32" t="s">
        <v>103</v>
      </c>
      <c r="G16" s="32" t="s">
        <v>121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5">
      <c r="A17" s="254" t="s">
        <v>91</v>
      </c>
      <c r="B17" s="393">
        <f>+C17*$H$4</f>
        <v>383885.99</v>
      </c>
      <c r="C17" s="286">
        <f>+NGPL!F38</f>
        <v>138587</v>
      </c>
      <c r="D17" s="417">
        <f>+NGPL!A38</f>
        <v>37090</v>
      </c>
      <c r="E17" s="32" t="s">
        <v>87</v>
      </c>
      <c r="F17" s="32" t="s">
        <v>118</v>
      </c>
      <c r="G17" s="32" t="s">
        <v>158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5">
      <c r="A18" s="254" t="s">
        <v>2</v>
      </c>
      <c r="B18" s="393">
        <f>+mewborne!$J$43</f>
        <v>376903.56</v>
      </c>
      <c r="C18" s="286">
        <f>+B18/$H$4</f>
        <v>136066.26714801445</v>
      </c>
      <c r="D18" s="417">
        <f>+mewborne!A43</f>
        <v>37090</v>
      </c>
      <c r="E18" s="32" t="s">
        <v>88</v>
      </c>
      <c r="F18" s="32" t="s">
        <v>102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5">
      <c r="A19" s="254" t="s">
        <v>97</v>
      </c>
      <c r="B19" s="393">
        <f>+C19*$H$4</f>
        <v>361955.9</v>
      </c>
      <c r="C19" s="286">
        <f>+Mojave!D40</f>
        <v>130670</v>
      </c>
      <c r="D19" s="417">
        <f>+Mojave!A40</f>
        <v>37090</v>
      </c>
      <c r="E19" s="32" t="s">
        <v>87</v>
      </c>
      <c r="F19" s="32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5">
      <c r="A20" s="254" t="s">
        <v>113</v>
      </c>
      <c r="B20" s="393">
        <f>+CIG!D43</f>
        <v>326755</v>
      </c>
      <c r="C20" s="286">
        <f>+B20/$H$4</f>
        <v>117962.09386281588</v>
      </c>
      <c r="D20" s="417">
        <f>+CIG!A43</f>
        <v>37090</v>
      </c>
      <c r="E20" s="32" t="s">
        <v>88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5">
      <c r="A21" s="254" t="s">
        <v>133</v>
      </c>
      <c r="B21" s="393">
        <f>+PGETX!$H$39</f>
        <v>314543.35999999999</v>
      </c>
      <c r="C21" s="286">
        <f>+B21/$H$4</f>
        <v>113553.55956678699</v>
      </c>
      <c r="D21" s="417">
        <f>+PGETX!E39</f>
        <v>37090</v>
      </c>
      <c r="E21" s="32" t="s">
        <v>88</v>
      </c>
      <c r="F21" s="32" t="s">
        <v>105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5">
      <c r="A22" s="254" t="s">
        <v>150</v>
      </c>
      <c r="B22" s="395">
        <f>+C22*$H$4</f>
        <v>245784.87</v>
      </c>
      <c r="C22" s="396">
        <f>+PEPL!D41</f>
        <v>88731</v>
      </c>
      <c r="D22" s="417">
        <f>+PEPL!A41</f>
        <v>37090</v>
      </c>
      <c r="E22" s="32" t="s">
        <v>87</v>
      </c>
      <c r="F22" s="32" t="s">
        <v>103</v>
      </c>
      <c r="G22" s="32" t="s">
        <v>149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5">
      <c r="A23" s="254" t="s">
        <v>106</v>
      </c>
      <c r="B23" s="393">
        <f>+EOG!J41</f>
        <v>245024.72999999998</v>
      </c>
      <c r="C23" s="286">
        <f>+B23/$H$4</f>
        <v>88456.581227436822</v>
      </c>
      <c r="D23" s="416">
        <f>+EOG!A41</f>
        <v>37090</v>
      </c>
      <c r="E23" s="32" t="s">
        <v>88</v>
      </c>
      <c r="F23" s="32" t="s">
        <v>105</v>
      </c>
      <c r="G23" s="32" t="s">
        <v>164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5">
      <c r="A24" s="254" t="s">
        <v>34</v>
      </c>
      <c r="B24" s="393">
        <f>+'El Paso'!C38*summary!H4+'El Paso'!E38*summary!H3</f>
        <v>224466.51</v>
      </c>
      <c r="C24" s="286">
        <f>+'El Paso'!H38</f>
        <v>85448</v>
      </c>
      <c r="D24" s="417">
        <f>+'El Paso'!A38</f>
        <v>37090</v>
      </c>
      <c r="E24" s="32" t="s">
        <v>87</v>
      </c>
      <c r="F24" s="32" t="s">
        <v>103</v>
      </c>
      <c r="G24" s="32" t="s">
        <v>122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5">
      <c r="A25" s="254" t="s">
        <v>32</v>
      </c>
      <c r="B25" s="393">
        <f>+C25*$H$4</f>
        <v>185002.76</v>
      </c>
      <c r="C25" s="286">
        <f>+Lonestar!F42</f>
        <v>66788</v>
      </c>
      <c r="D25" s="416">
        <f>+Lonestar!B42</f>
        <v>37090</v>
      </c>
      <c r="E25" s="32" t="s">
        <v>87</v>
      </c>
      <c r="F25" s="32" t="s">
        <v>105</v>
      </c>
      <c r="G25" s="32" t="s">
        <v>166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5">
      <c r="A26" s="254" t="s">
        <v>6</v>
      </c>
      <c r="B26" s="393">
        <f>+C26*$H$3</f>
        <v>151085.44</v>
      </c>
      <c r="C26" s="286">
        <f>+Amoco!D40</f>
        <v>62432</v>
      </c>
      <c r="D26" s="417">
        <f>+Amoco!A40</f>
        <v>37090</v>
      </c>
      <c r="E26" s="32" t="s">
        <v>87</v>
      </c>
      <c r="F26" s="32" t="s">
        <v>118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5">
      <c r="A27" s="254" t="s">
        <v>7</v>
      </c>
      <c r="B27" s="393">
        <f>+C27*$H$4</f>
        <v>84252.32</v>
      </c>
      <c r="C27" s="208">
        <f>+Oasis!D40</f>
        <v>30416</v>
      </c>
      <c r="D27" s="417">
        <f>+Oasis!B40</f>
        <v>37090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5">
      <c r="A28" s="254" t="s">
        <v>137</v>
      </c>
      <c r="B28" s="393">
        <f>+SidR!D41</f>
        <v>63947.839999999997</v>
      </c>
      <c r="C28" s="286">
        <f>+B28/$H$4</f>
        <v>23085.862815884477</v>
      </c>
      <c r="D28" s="417">
        <f>+SidR!A41</f>
        <v>37090</v>
      </c>
      <c r="E28" s="32" t="s">
        <v>88</v>
      </c>
      <c r="F28" s="32" t="s">
        <v>105</v>
      </c>
      <c r="G28" s="32" t="s">
        <v>165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5">
      <c r="A29" s="392" t="s">
        <v>82</v>
      </c>
      <c r="B29" s="393">
        <f>+Agave!$D$24</f>
        <v>62476.97</v>
      </c>
      <c r="C29" s="208">
        <f>+B29/$H$4</f>
        <v>22554.862815884477</v>
      </c>
      <c r="D29" s="416">
        <f>+Agave!A24</f>
        <v>37090</v>
      </c>
      <c r="E29" s="206" t="s">
        <v>88</v>
      </c>
      <c r="F29" s="206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5">
      <c r="A30" s="254" t="s">
        <v>74</v>
      </c>
      <c r="B30" s="395">
        <f>+transcol!$D$43</f>
        <v>14952.129999999997</v>
      </c>
      <c r="C30" s="396">
        <f>+B30/$H$4</f>
        <v>5397.8808664259914</v>
      </c>
      <c r="D30" s="417">
        <f>+transcol!A43</f>
        <v>37090</v>
      </c>
      <c r="E30" s="32" t="s">
        <v>88</v>
      </c>
      <c r="F30" s="32" t="s">
        <v>118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5">
      <c r="A31" s="392" t="s">
        <v>132</v>
      </c>
      <c r="B31" s="393">
        <f>+Calpine!D41</f>
        <v>11220.039999999979</v>
      </c>
      <c r="C31" s="208">
        <f>+B31/$H$4</f>
        <v>4050.5559566786928</v>
      </c>
      <c r="D31" s="416">
        <f>+Calpine!A41</f>
        <v>37090</v>
      </c>
      <c r="E31" s="206" t="s">
        <v>88</v>
      </c>
      <c r="F31" s="206" t="s">
        <v>102</v>
      </c>
      <c r="G31" s="400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5">
      <c r="A32" s="254" t="s">
        <v>117</v>
      </c>
      <c r="B32" s="393">
        <f>+C32*$H$4</f>
        <v>2686.9</v>
      </c>
      <c r="C32" s="208">
        <f>+'PG&amp;E'!D40</f>
        <v>970</v>
      </c>
      <c r="D32" s="417">
        <f>+'PG&amp;E'!A40</f>
        <v>37090</v>
      </c>
      <c r="E32" s="32" t="s">
        <v>87</v>
      </c>
      <c r="F32" s="32" t="s">
        <v>105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7.100000000000001" customHeight="1" x14ac:dyDescent="0.25">
      <c r="A33" s="254" t="s">
        <v>1</v>
      </c>
      <c r="B33" s="397">
        <f>+C33*$H$3</f>
        <v>2553.1</v>
      </c>
      <c r="C33" s="398">
        <f>+NW!$F$41</f>
        <v>1055</v>
      </c>
      <c r="D33" s="416">
        <f>+NW!B41</f>
        <v>37090</v>
      </c>
      <c r="E33" s="32" t="s">
        <v>87</v>
      </c>
      <c r="F33" s="32" t="s">
        <v>118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5">
      <c r="A34" s="32" t="s">
        <v>99</v>
      </c>
      <c r="B34" s="47">
        <f>SUM(B8:B33)</f>
        <v>8195859.8400000017</v>
      </c>
      <c r="C34" s="69">
        <f>SUM(C8:C33)</f>
        <v>3045549.240504818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2"/>
      <c r="B35" s="47"/>
      <c r="C35" s="69"/>
      <c r="D35" s="205"/>
      <c r="E35" s="32"/>
      <c r="F35" s="399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59" t="s">
        <v>92</v>
      </c>
      <c r="B36" s="360" t="s">
        <v>17</v>
      </c>
      <c r="C36" s="361" t="s">
        <v>0</v>
      </c>
      <c r="D36" s="370" t="s">
        <v>169</v>
      </c>
      <c r="E36" s="359" t="s">
        <v>93</v>
      </c>
      <c r="F36" s="362" t="s">
        <v>104</v>
      </c>
      <c r="G36" s="359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92" t="s">
        <v>141</v>
      </c>
      <c r="B37" s="393">
        <f>+Citizens!D18</f>
        <v>-878957.71000000008</v>
      </c>
      <c r="C37" s="208">
        <f>+B37/$H$4</f>
        <v>-317313.25270758127</v>
      </c>
      <c r="D37" s="416">
        <f>+Citizens!A18</f>
        <v>37090</v>
      </c>
      <c r="E37" s="206" t="s">
        <v>88</v>
      </c>
      <c r="F37" s="206" t="s">
        <v>102</v>
      </c>
      <c r="G37" s="400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254" t="s">
        <v>139</v>
      </c>
      <c r="B38" s="393">
        <f>+'NS Steel'!D41</f>
        <v>-389619.1</v>
      </c>
      <c r="C38" s="208">
        <f>+B38/$H$4</f>
        <v>-140656.71480144403</v>
      </c>
      <c r="D38" s="417">
        <f>+'NS Steel'!A41</f>
        <v>37090</v>
      </c>
      <c r="E38" s="32" t="s">
        <v>88</v>
      </c>
      <c r="F38" s="32" t="s">
        <v>103</v>
      </c>
      <c r="G38" s="400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254" t="s">
        <v>146</v>
      </c>
      <c r="B39" s="393">
        <f>+'Citizens-Griffith'!D41</f>
        <v>-215174.39999999999</v>
      </c>
      <c r="C39" s="286">
        <f>+B39/$H$4</f>
        <v>-77680.288808664263</v>
      </c>
      <c r="D39" s="416">
        <f>+'Citizens-Griffith'!A41</f>
        <v>37090</v>
      </c>
      <c r="E39" s="32" t="s">
        <v>88</v>
      </c>
      <c r="F39" s="32" t="s">
        <v>102</v>
      </c>
      <c r="G39" s="32" t="s">
        <v>162</v>
      </c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254" t="s">
        <v>135</v>
      </c>
      <c r="B40" s="393">
        <f>+EPFS!D41</f>
        <v>-168051.1</v>
      </c>
      <c r="C40" s="208">
        <f>+B40/$H$5</f>
        <v>-56774.020270270274</v>
      </c>
      <c r="D40" s="416">
        <f>+EPFS!A41</f>
        <v>37090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5">
      <c r="A41" s="392" t="s">
        <v>98</v>
      </c>
      <c r="B41" s="393">
        <f>+burlington!D42</f>
        <v>-17494.18</v>
      </c>
      <c r="C41" s="286">
        <f>+B41/$H$3</f>
        <v>-7229</v>
      </c>
      <c r="D41" s="416">
        <f>+burlington!A42</f>
        <v>37090</v>
      </c>
      <c r="E41" s="206" t="s">
        <v>88</v>
      </c>
      <c r="F41" s="32" t="s">
        <v>116</v>
      </c>
      <c r="G41" s="32" t="s">
        <v>163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5">
      <c r="A42" s="254" t="s">
        <v>112</v>
      </c>
      <c r="B42" s="397">
        <f>+Continental!F43</f>
        <v>-14809.08</v>
      </c>
      <c r="C42" s="398">
        <f>+B42/$H$4</f>
        <v>-5346.2382671480145</v>
      </c>
      <c r="D42" s="417">
        <f>+Continental!A43</f>
        <v>37090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93">
        <f>SUM(B37:B42)</f>
        <v>-1684105.57</v>
      </c>
      <c r="C43" s="208">
        <f>SUM(C37:C42)</f>
        <v>-604999.51485510787</v>
      </c>
      <c r="D43" s="40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5">
      <c r="A44" s="32"/>
      <c r="B44" s="397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402">
        <f>+B43+B34</f>
        <v>6511754.2700000014</v>
      </c>
      <c r="C45" s="403">
        <f>+C43+C34</f>
        <v>2440549.7256497103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7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04"/>
      <c r="C60" s="405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40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7"/>
      <c r="D66" s="407"/>
      <c r="E66" s="408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7"/>
      <c r="D67" s="409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7"/>
      <c r="D68" s="40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7"/>
      <c r="D69" s="410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7"/>
      <c r="D70" s="41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412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412"/>
      <c r="C72" s="69"/>
      <c r="D72" s="40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413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413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412"/>
      <c r="C75" s="14"/>
      <c r="D75" s="40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412"/>
      <c r="C76" s="69"/>
      <c r="D76" s="40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412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404"/>
      <c r="C78" s="4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1" sqref="B11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2"/>
      <c r="D4" s="69"/>
    </row>
    <row r="5" spans="1:8" x14ac:dyDescent="0.2">
      <c r="B5" s="293" t="s">
        <v>20</v>
      </c>
      <c r="C5" s="293" t="s">
        <v>21</v>
      </c>
      <c r="D5" s="294" t="s">
        <v>51</v>
      </c>
    </row>
    <row r="6" spans="1:8" x14ac:dyDescent="0.2">
      <c r="A6" s="32">
        <v>1635</v>
      </c>
      <c r="B6" s="348">
        <v>-85969</v>
      </c>
      <c r="C6" s="80"/>
      <c r="D6" s="80">
        <f t="shared" ref="D6:D14" si="0">+C6-B6</f>
        <v>85969</v>
      </c>
    </row>
    <row r="7" spans="1:8" x14ac:dyDescent="0.2">
      <c r="A7" s="32">
        <v>3531</v>
      </c>
      <c r="B7" s="325"/>
      <c r="C7" s="80"/>
      <c r="D7" s="80">
        <f t="shared" si="0"/>
        <v>0</v>
      </c>
    </row>
    <row r="8" spans="1:8" x14ac:dyDescent="0.2">
      <c r="A8" s="32">
        <v>60667</v>
      </c>
      <c r="B8" s="325">
        <v>-568189</v>
      </c>
      <c r="C8" s="80"/>
      <c r="D8" s="80">
        <f t="shared" si="0"/>
        <v>568189</v>
      </c>
      <c r="H8" s="255"/>
    </row>
    <row r="9" spans="1:8" x14ac:dyDescent="0.2">
      <c r="A9" s="32">
        <v>60749</v>
      </c>
      <c r="B9" s="325">
        <v>1017272</v>
      </c>
      <c r="C9" s="80">
        <v>263234</v>
      </c>
      <c r="D9" s="80">
        <f t="shared" si="0"/>
        <v>-754038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25">
        <v>-37741</v>
      </c>
      <c r="C11" s="80"/>
      <c r="D11" s="80">
        <f t="shared" si="0"/>
        <v>37741</v>
      </c>
      <c r="H11" s="255"/>
    </row>
    <row r="12" spans="1:8" x14ac:dyDescent="0.2">
      <c r="A12" s="32">
        <v>62960</v>
      </c>
      <c r="B12" s="325"/>
      <c r="C12" s="80"/>
      <c r="D12" s="80">
        <f t="shared" si="0"/>
        <v>0</v>
      </c>
      <c r="H12" s="255"/>
    </row>
    <row r="13" spans="1:8" x14ac:dyDescent="0.2">
      <c r="A13" s="295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-62139</v>
      </c>
    </row>
    <row r="19" spans="1:5" x14ac:dyDescent="0.2">
      <c r="A19" s="32" t="s">
        <v>84</v>
      </c>
      <c r="B19" s="69"/>
      <c r="C19" s="69"/>
      <c r="D19" s="73">
        <f>+summary!H4</f>
        <v>2.77</v>
      </c>
    </row>
    <row r="20" spans="1:5" x14ac:dyDescent="0.2">
      <c r="B20" s="69"/>
      <c r="C20" s="69"/>
      <c r="D20" s="75">
        <f>+D19*D18</f>
        <v>-172125.03</v>
      </c>
    </row>
    <row r="21" spans="1:5" x14ac:dyDescent="0.2">
      <c r="B21" s="69"/>
      <c r="C21" s="80"/>
      <c r="D21" s="299"/>
      <c r="E21" s="255"/>
    </row>
    <row r="22" spans="1:5" x14ac:dyDescent="0.2">
      <c r="A22" s="49">
        <v>36707</v>
      </c>
      <c r="B22" s="69"/>
      <c r="C22" s="80"/>
      <c r="D22" s="389">
        <v>1010525.98</v>
      </c>
      <c r="E22" s="255"/>
    </row>
    <row r="23" spans="1:5" x14ac:dyDescent="0.2">
      <c r="B23" s="69"/>
      <c r="C23" s="80"/>
      <c r="D23" s="299"/>
      <c r="E23" s="255"/>
    </row>
    <row r="24" spans="1:5" ht="10.8" thickBot="1" x14ac:dyDescent="0.25">
      <c r="A24" s="49">
        <v>37090</v>
      </c>
      <c r="B24" s="69"/>
      <c r="C24" s="69"/>
      <c r="D24" s="355">
        <f>+D22+D20</f>
        <v>838400.95</v>
      </c>
      <c r="E24" s="255"/>
    </row>
    <row r="25" spans="1:5" ht="10.8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6"/>
      <c r="D3" s="88"/>
    </row>
    <row r="4" spans="1:13" x14ac:dyDescent="0.25">
      <c r="A4" s="87"/>
      <c r="B4" s="262" t="s">
        <v>20</v>
      </c>
      <c r="C4" s="262" t="s">
        <v>21</v>
      </c>
      <c r="D4" s="263" t="s">
        <v>51</v>
      </c>
    </row>
    <row r="5" spans="1:13" x14ac:dyDescent="0.25">
      <c r="A5" s="87">
        <v>9236</v>
      </c>
      <c r="B5" s="368">
        <v>-42415</v>
      </c>
      <c r="C5" s="90">
        <v>-29426</v>
      </c>
      <c r="D5" s="90">
        <f t="shared" ref="D5:D13" si="0">+C5-B5</f>
        <v>12989</v>
      </c>
      <c r="E5" s="69"/>
      <c r="F5" s="70"/>
    </row>
    <row r="6" spans="1:13" x14ac:dyDescent="0.25">
      <c r="A6" s="87">
        <v>9238</v>
      </c>
      <c r="B6" s="321"/>
      <c r="C6" s="90"/>
      <c r="D6" s="90">
        <f t="shared" si="0"/>
        <v>0</v>
      </c>
      <c r="E6" s="286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8">
        <v>-1791130</v>
      </c>
      <c r="C7" s="90">
        <v>-1877259</v>
      </c>
      <c r="D7" s="90">
        <f t="shared" si="0"/>
        <v>-86129</v>
      </c>
      <c r="E7" s="286"/>
      <c r="F7" s="70"/>
    </row>
    <row r="8" spans="1:13" x14ac:dyDescent="0.25">
      <c r="A8" s="87">
        <v>58710</v>
      </c>
      <c r="B8" s="368">
        <v>-17917</v>
      </c>
      <c r="C8" s="90">
        <v>-1023</v>
      </c>
      <c r="D8" s="90">
        <f t="shared" si="0"/>
        <v>16894</v>
      </c>
      <c r="E8" s="286"/>
      <c r="F8" s="70"/>
    </row>
    <row r="9" spans="1:13" x14ac:dyDescent="0.25">
      <c r="A9" s="87">
        <v>60921</v>
      </c>
      <c r="B9" s="321">
        <v>1456035</v>
      </c>
      <c r="C9" s="90">
        <v>1420920</v>
      </c>
      <c r="D9" s="90">
        <f t="shared" si="0"/>
        <v>-35115</v>
      </c>
      <c r="E9" s="286"/>
      <c r="F9" s="70"/>
    </row>
    <row r="10" spans="1:13" x14ac:dyDescent="0.25">
      <c r="A10" s="87">
        <v>78026</v>
      </c>
      <c r="B10" s="368">
        <f>8690+1053+1898+2176+2548+3000+2563+2563</f>
        <v>24491</v>
      </c>
      <c r="C10" s="90">
        <v>33692</v>
      </c>
      <c r="D10" s="90">
        <f t="shared" si="0"/>
        <v>9201</v>
      </c>
      <c r="E10" s="286"/>
      <c r="F10" s="284"/>
    </row>
    <row r="11" spans="1:13" x14ac:dyDescent="0.25">
      <c r="A11" s="87">
        <v>500084</v>
      </c>
      <c r="B11" s="368">
        <v>-7609</v>
      </c>
      <c r="C11" s="90">
        <v>-18000</v>
      </c>
      <c r="D11" s="90">
        <f t="shared" si="0"/>
        <v>-10391</v>
      </c>
      <c r="E11" s="287"/>
      <c r="F11" s="284"/>
    </row>
    <row r="12" spans="1:13" x14ac:dyDescent="0.25">
      <c r="A12" s="336">
        <v>500085</v>
      </c>
      <c r="B12" s="368"/>
      <c r="C12" s="90"/>
      <c r="D12" s="90">
        <f t="shared" si="0"/>
        <v>0</v>
      </c>
      <c r="E12" s="286"/>
      <c r="F12" s="284"/>
    </row>
    <row r="13" spans="1:13" x14ac:dyDescent="0.25">
      <c r="A13" s="87">
        <v>500097</v>
      </c>
      <c r="B13" s="339">
        <v>-512</v>
      </c>
      <c r="C13" s="90"/>
      <c r="D13" s="90">
        <f t="shared" si="0"/>
        <v>512</v>
      </c>
      <c r="E13" s="286"/>
      <c r="F13" s="284"/>
    </row>
    <row r="14" spans="1:13" x14ac:dyDescent="0.25">
      <c r="A14" s="87"/>
      <c r="B14" s="90"/>
      <c r="C14" s="90"/>
      <c r="D14" s="90"/>
      <c r="E14" s="286"/>
      <c r="F14" s="284"/>
    </row>
    <row r="15" spans="1:13" x14ac:dyDescent="0.25">
      <c r="A15" s="87"/>
      <c r="B15" s="90"/>
      <c r="C15" s="90"/>
      <c r="D15" s="90"/>
      <c r="E15" s="286"/>
      <c r="F15" s="284"/>
    </row>
    <row r="16" spans="1:13" x14ac:dyDescent="0.25">
      <c r="A16" s="87"/>
      <c r="B16" s="88"/>
      <c r="C16" s="88"/>
      <c r="D16" s="94"/>
      <c r="E16" s="286"/>
      <c r="F16" s="284"/>
    </row>
    <row r="17" spans="1:7" x14ac:dyDescent="0.25">
      <c r="A17" s="87"/>
      <c r="B17" s="88"/>
      <c r="C17" s="88"/>
      <c r="D17" s="88">
        <f>SUM(D5:D16)</f>
        <v>-92039</v>
      </c>
      <c r="E17" s="286"/>
      <c r="F17" s="284"/>
    </row>
    <row r="18" spans="1:7" x14ac:dyDescent="0.25">
      <c r="A18" s="87" t="s">
        <v>84</v>
      </c>
      <c r="B18" s="88"/>
      <c r="C18" s="88"/>
      <c r="D18" s="95">
        <f>+summary!H4</f>
        <v>2.77</v>
      </c>
      <c r="E18" s="288"/>
      <c r="F18" s="284"/>
    </row>
    <row r="19" spans="1:7" x14ac:dyDescent="0.25">
      <c r="A19" s="87"/>
      <c r="B19" s="88"/>
      <c r="C19" s="88"/>
      <c r="D19" s="96">
        <f>+D18*D17</f>
        <v>-254948.03</v>
      </c>
      <c r="E19" s="209"/>
      <c r="F19" s="285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37072</v>
      </c>
      <c r="B21" s="88"/>
      <c r="C21" s="88"/>
      <c r="D21" s="382">
        <v>692868.31</v>
      </c>
      <c r="E21" s="209"/>
      <c r="F21" s="66"/>
    </row>
    <row r="22" spans="1:7" x14ac:dyDescent="0.25">
      <c r="A22" s="87"/>
      <c r="B22" s="88"/>
      <c r="C22" s="88"/>
      <c r="D22" s="324"/>
      <c r="E22" s="209"/>
      <c r="F22" s="66"/>
    </row>
    <row r="23" spans="1:7" ht="13.8" thickBot="1" x14ac:dyDescent="0.3">
      <c r="A23" s="99">
        <v>37090</v>
      </c>
      <c r="B23" s="88"/>
      <c r="C23" s="88"/>
      <c r="D23" s="337">
        <f>+D21+D19</f>
        <v>437920.28</v>
      </c>
      <c r="E23" s="209"/>
      <c r="F23" s="66"/>
    </row>
    <row r="24" spans="1:7" ht="13.8" thickTop="1" x14ac:dyDescent="0.25">
      <c r="E24" s="289"/>
    </row>
    <row r="25" spans="1:7" x14ac:dyDescent="0.25">
      <c r="E25" s="289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7"/>
      <c r="E36" s="69"/>
      <c r="F36" s="70"/>
      <c r="G36" s="32"/>
    </row>
    <row r="37" spans="1:7" x14ac:dyDescent="0.25">
      <c r="B37" s="69"/>
      <c r="C37" s="69"/>
      <c r="D37" s="307"/>
      <c r="E37" s="69"/>
      <c r="F37" s="70"/>
      <c r="G37" s="32"/>
    </row>
    <row r="38" spans="1:7" x14ac:dyDescent="0.25">
      <c r="B38" s="69"/>
      <c r="C38" s="69"/>
      <c r="D38" s="307"/>
      <c r="E38" s="69"/>
      <c r="F38" s="70"/>
      <c r="G38" s="32"/>
    </row>
    <row r="39" spans="1:7" x14ac:dyDescent="0.25">
      <c r="B39" s="69"/>
      <c r="C39" s="69"/>
      <c r="D39" s="307"/>
      <c r="E39" s="69"/>
      <c r="F39" s="70"/>
      <c r="G39" s="32"/>
    </row>
    <row r="40" spans="1:7" x14ac:dyDescent="0.25">
      <c r="B40" s="69"/>
      <c r="C40" s="69"/>
      <c r="D40" s="307"/>
      <c r="E40" s="69"/>
      <c r="F40" s="70"/>
      <c r="G40" s="32"/>
    </row>
    <row r="41" spans="1:7" x14ac:dyDescent="0.25">
      <c r="B41" s="69"/>
      <c r="C41" s="69"/>
      <c r="D41" s="307"/>
      <c r="E41" s="69"/>
      <c r="F41" s="70"/>
      <c r="G41" s="32"/>
    </row>
    <row r="42" spans="1:7" x14ac:dyDescent="0.25">
      <c r="B42" s="69"/>
      <c r="C42" s="69"/>
      <c r="D42" s="307"/>
      <c r="E42" s="69"/>
      <c r="F42" s="70"/>
      <c r="G42" s="32"/>
    </row>
    <row r="43" spans="1:7" x14ac:dyDescent="0.25">
      <c r="B43" s="69"/>
      <c r="C43" s="69"/>
      <c r="D43" s="307"/>
      <c r="E43" s="69"/>
      <c r="F43" s="70"/>
      <c r="G43" s="32"/>
    </row>
    <row r="44" spans="1:7" x14ac:dyDescent="0.25">
      <c r="B44" s="69"/>
      <c r="C44" s="69"/>
      <c r="D44" s="308"/>
      <c r="E44" s="286"/>
      <c r="F44" s="284"/>
      <c r="G44" s="206"/>
    </row>
    <row r="45" spans="1:7" x14ac:dyDescent="0.25">
      <c r="B45" s="69"/>
      <c r="C45" s="69"/>
      <c r="D45" s="308"/>
      <c r="E45" s="286"/>
      <c r="F45" s="284"/>
      <c r="G45" s="206"/>
    </row>
    <row r="46" spans="1:7" x14ac:dyDescent="0.25">
      <c r="A46" s="32"/>
      <c r="B46" s="69"/>
      <c r="C46" s="69"/>
      <c r="D46" s="286"/>
      <c r="E46" s="286"/>
      <c r="F46" s="284"/>
      <c r="G46" s="206"/>
    </row>
    <row r="47" spans="1:7" x14ac:dyDescent="0.25">
      <c r="A47" s="32"/>
      <c r="B47" s="69"/>
      <c r="C47" s="69"/>
      <c r="D47" s="288"/>
      <c r="E47" s="288"/>
      <c r="F47" s="284"/>
      <c r="G47" s="206"/>
    </row>
    <row r="48" spans="1:7" x14ac:dyDescent="0.25">
      <c r="B48" s="69"/>
      <c r="C48" s="69"/>
      <c r="D48" s="286"/>
      <c r="E48" s="286"/>
      <c r="F48" s="285"/>
      <c r="G48" s="206"/>
    </row>
    <row r="49" spans="1:7" x14ac:dyDescent="0.25">
      <c r="B49" s="69"/>
      <c r="C49" s="69"/>
      <c r="D49" s="286"/>
      <c r="E49" s="286"/>
      <c r="F49" s="285"/>
      <c r="G49" s="206"/>
    </row>
    <row r="50" spans="1:7" x14ac:dyDescent="0.25">
      <c r="C50" s="304"/>
      <c r="D50" s="304"/>
      <c r="E50" s="304"/>
      <c r="F50" s="305"/>
      <c r="G50" s="306"/>
    </row>
    <row r="51" spans="1:7" x14ac:dyDescent="0.25">
      <c r="A51" s="32"/>
      <c r="C51" s="304"/>
      <c r="D51" s="304"/>
      <c r="E51" s="304"/>
      <c r="F51" s="305"/>
    </row>
    <row r="52" spans="1:7" x14ac:dyDescent="0.25">
      <c r="A52" s="32"/>
      <c r="C52" s="304"/>
      <c r="D52" s="304"/>
      <c r="E52" s="304"/>
      <c r="F52" s="305"/>
    </row>
    <row r="53" spans="1:7" x14ac:dyDescent="0.25">
      <c r="A53" s="32"/>
      <c r="C53" s="304"/>
      <c r="D53" s="304"/>
      <c r="E53" s="304"/>
      <c r="F53" s="305"/>
    </row>
    <row r="54" spans="1:7" x14ac:dyDescent="0.25">
      <c r="A54" s="32"/>
      <c r="C54" s="304"/>
      <c r="D54" s="304"/>
      <c r="E54" s="304"/>
      <c r="F54" s="305"/>
    </row>
    <row r="55" spans="1:7" x14ac:dyDescent="0.25">
      <c r="A55" s="32"/>
      <c r="C55" s="304"/>
      <c r="D55" s="304"/>
      <c r="E55" s="289"/>
      <c r="F55" s="289"/>
    </row>
    <row r="56" spans="1:7" x14ac:dyDescent="0.25">
      <c r="C56" s="304"/>
      <c r="D56" s="304"/>
      <c r="E56" s="289"/>
      <c r="F56" s="289"/>
    </row>
    <row r="57" spans="1:7" x14ac:dyDescent="0.25">
      <c r="C57" s="304"/>
      <c r="D57" s="304"/>
      <c r="E57" s="289"/>
      <c r="F57" s="289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7" workbookViewId="3">
      <selection activeCell="C21" sqref="C21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2" t="s">
        <v>20</v>
      </c>
      <c r="C2" s="262" t="s">
        <v>21</v>
      </c>
      <c r="D2" s="262" t="s">
        <v>20</v>
      </c>
      <c r="E2" s="262" t="s">
        <v>21</v>
      </c>
      <c r="F2" s="263" t="s">
        <v>51</v>
      </c>
    </row>
    <row r="3" spans="1:6" x14ac:dyDescent="0.25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5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5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5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5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5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5">
      <c r="A9">
        <v>7</v>
      </c>
      <c r="B9" s="90">
        <v>50994</v>
      </c>
      <c r="C9" s="90">
        <v>46207</v>
      </c>
      <c r="D9" s="90">
        <v>-1</v>
      </c>
      <c r="E9" s="90"/>
      <c r="F9" s="90">
        <f t="shared" si="0"/>
        <v>-4786</v>
      </c>
    </row>
    <row r="10" spans="1:6" x14ac:dyDescent="0.25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5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5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5">
      <c r="A13">
        <v>11</v>
      </c>
      <c r="B13" s="90">
        <v>44580</v>
      </c>
      <c r="C13" s="90">
        <v>46492</v>
      </c>
      <c r="D13" s="90"/>
      <c r="E13" s="90"/>
      <c r="F13" s="90">
        <f t="shared" si="0"/>
        <v>1912</v>
      </c>
    </row>
    <row r="14" spans="1:6" x14ac:dyDescent="0.25">
      <c r="A14">
        <v>12</v>
      </c>
      <c r="B14" s="88">
        <v>61177</v>
      </c>
      <c r="C14" s="88">
        <v>56491</v>
      </c>
      <c r="D14" s="88"/>
      <c r="E14" s="88"/>
      <c r="F14" s="90">
        <f t="shared" si="0"/>
        <v>-4686</v>
      </c>
    </row>
    <row r="15" spans="1:6" x14ac:dyDescent="0.25">
      <c r="A15">
        <v>13</v>
      </c>
      <c r="B15" s="88">
        <v>48700</v>
      </c>
      <c r="C15" s="88">
        <v>43898</v>
      </c>
      <c r="D15" s="88"/>
      <c r="E15" s="88"/>
      <c r="F15" s="90">
        <f t="shared" si="0"/>
        <v>-4802</v>
      </c>
    </row>
    <row r="16" spans="1:6" x14ac:dyDescent="0.25">
      <c r="A16">
        <v>14</v>
      </c>
      <c r="B16" s="88">
        <v>34688</v>
      </c>
      <c r="C16" s="88">
        <v>29491</v>
      </c>
      <c r="D16" s="88"/>
      <c r="E16" s="88"/>
      <c r="F16" s="90">
        <f t="shared" si="0"/>
        <v>-5197</v>
      </c>
    </row>
    <row r="17" spans="1:6" x14ac:dyDescent="0.25">
      <c r="A17">
        <v>15</v>
      </c>
      <c r="B17" s="88">
        <v>33733</v>
      </c>
      <c r="C17" s="88">
        <v>28660</v>
      </c>
      <c r="D17" s="14"/>
      <c r="E17" s="14"/>
      <c r="F17" s="90">
        <f t="shared" si="0"/>
        <v>-5073</v>
      </c>
    </row>
    <row r="18" spans="1:6" x14ac:dyDescent="0.25">
      <c r="A18">
        <v>16</v>
      </c>
      <c r="B18" s="88">
        <v>34395</v>
      </c>
      <c r="C18" s="88">
        <v>29491</v>
      </c>
      <c r="D18" s="14"/>
      <c r="E18" s="14"/>
      <c r="F18" s="90">
        <f t="shared" si="0"/>
        <v>-4904</v>
      </c>
    </row>
    <row r="19" spans="1:6" x14ac:dyDescent="0.25">
      <c r="A19">
        <v>17</v>
      </c>
      <c r="B19" s="88">
        <v>37131</v>
      </c>
      <c r="C19" s="14">
        <v>37990</v>
      </c>
      <c r="D19" s="14"/>
      <c r="E19" s="14"/>
      <c r="F19" s="90">
        <f t="shared" si="0"/>
        <v>859</v>
      </c>
    </row>
    <row r="20" spans="1:6" x14ac:dyDescent="0.25">
      <c r="A20">
        <v>18</v>
      </c>
      <c r="B20" s="350">
        <v>39400</v>
      </c>
      <c r="C20" s="350">
        <v>39492</v>
      </c>
      <c r="D20" s="14"/>
      <c r="E20" s="14"/>
      <c r="F20" s="90">
        <f t="shared" si="0"/>
        <v>92</v>
      </c>
    </row>
    <row r="21" spans="1:6" x14ac:dyDescent="0.25">
      <c r="A21">
        <v>19</v>
      </c>
      <c r="B21" s="350"/>
      <c r="C21" s="350"/>
      <c r="D21" s="14"/>
      <c r="E21" s="14"/>
      <c r="F21" s="90">
        <f t="shared" si="0"/>
        <v>0</v>
      </c>
    </row>
    <row r="22" spans="1:6" x14ac:dyDescent="0.25">
      <c r="A22">
        <v>20</v>
      </c>
      <c r="B22" s="350"/>
      <c r="C22" s="350"/>
      <c r="D22" s="14"/>
      <c r="E22" s="14"/>
      <c r="F22" s="90">
        <f t="shared" si="0"/>
        <v>0</v>
      </c>
    </row>
    <row r="23" spans="1:6" x14ac:dyDescent="0.25">
      <c r="A23">
        <v>21</v>
      </c>
      <c r="B23" s="350"/>
      <c r="C23" s="350"/>
      <c r="D23" s="14"/>
      <c r="E23" s="14"/>
      <c r="F23" s="90">
        <f t="shared" si="0"/>
        <v>0</v>
      </c>
    </row>
    <row r="24" spans="1:6" x14ac:dyDescent="0.25">
      <c r="A24">
        <v>22</v>
      </c>
      <c r="B24" s="350"/>
      <c r="C24" s="350"/>
      <c r="D24" s="14"/>
      <c r="E24" s="14"/>
      <c r="F24" s="90">
        <f t="shared" si="0"/>
        <v>0</v>
      </c>
    </row>
    <row r="25" spans="1:6" x14ac:dyDescent="0.25">
      <c r="A25">
        <v>23</v>
      </c>
      <c r="B25" s="350"/>
      <c r="C25" s="350"/>
      <c r="D25" s="14"/>
      <c r="E25" s="14"/>
      <c r="F25" s="90">
        <f t="shared" si="0"/>
        <v>0</v>
      </c>
    </row>
    <row r="26" spans="1:6" x14ac:dyDescent="0.25">
      <c r="A26">
        <v>24</v>
      </c>
      <c r="B26" s="350"/>
      <c r="C26" s="350"/>
      <c r="D26" s="14"/>
      <c r="E26" s="14"/>
      <c r="F26" s="90">
        <f t="shared" si="0"/>
        <v>0</v>
      </c>
    </row>
    <row r="27" spans="1:6" x14ac:dyDescent="0.25">
      <c r="A27">
        <v>25</v>
      </c>
      <c r="B27" s="350"/>
      <c r="C27" s="350"/>
      <c r="D27" s="14"/>
      <c r="E27" s="14"/>
      <c r="F27" s="90">
        <f t="shared" si="0"/>
        <v>0</v>
      </c>
    </row>
    <row r="28" spans="1:6" x14ac:dyDescent="0.25">
      <c r="A28">
        <v>26</v>
      </c>
      <c r="B28" s="350"/>
      <c r="C28" s="350"/>
      <c r="D28" s="14"/>
      <c r="E28" s="14"/>
      <c r="F28" s="90">
        <f t="shared" si="0"/>
        <v>0</v>
      </c>
    </row>
    <row r="29" spans="1:6" x14ac:dyDescent="0.25">
      <c r="A29">
        <v>27</v>
      </c>
      <c r="B29" s="350"/>
      <c r="C29" s="350"/>
      <c r="D29" s="14"/>
      <c r="E29" s="14"/>
      <c r="F29" s="90">
        <f t="shared" si="0"/>
        <v>0</v>
      </c>
    </row>
    <row r="30" spans="1:6" x14ac:dyDescent="0.25">
      <c r="A30">
        <v>28</v>
      </c>
      <c r="B30" s="350"/>
      <c r="C30" s="350"/>
      <c r="D30" s="14"/>
      <c r="E30" s="14"/>
      <c r="F30" s="90">
        <f t="shared" si="0"/>
        <v>0</v>
      </c>
    </row>
    <row r="31" spans="1:6" x14ac:dyDescent="0.25">
      <c r="A31">
        <v>29</v>
      </c>
      <c r="B31" s="350"/>
      <c r="C31" s="350"/>
      <c r="D31" s="14"/>
      <c r="E31" s="14"/>
      <c r="F31" s="90">
        <f t="shared" si="0"/>
        <v>0</v>
      </c>
    </row>
    <row r="32" spans="1:6" x14ac:dyDescent="0.25">
      <c r="A32">
        <v>30</v>
      </c>
      <c r="B32" s="350"/>
      <c r="C32" s="350"/>
      <c r="D32" s="14"/>
      <c r="E32" s="14"/>
      <c r="F32" s="90">
        <f t="shared" si="0"/>
        <v>0</v>
      </c>
    </row>
    <row r="33" spans="1:6" x14ac:dyDescent="0.25">
      <c r="A33">
        <v>31</v>
      </c>
      <c r="B33" s="350"/>
      <c r="C33" s="350"/>
      <c r="D33" s="14"/>
      <c r="E33" s="14"/>
      <c r="F33" s="90">
        <f t="shared" si="0"/>
        <v>0</v>
      </c>
    </row>
    <row r="34" spans="1:6" x14ac:dyDescent="0.25">
      <c r="B34" s="298">
        <f>SUM(B3:B33)</f>
        <v>843656</v>
      </c>
      <c r="C34" s="298">
        <f>SUM(C3:C33)</f>
        <v>789904</v>
      </c>
      <c r="D34" s="14">
        <f>SUM(D3:D33)</f>
        <v>-1</v>
      </c>
      <c r="E34" s="14">
        <f>SUM(E3:E33)</f>
        <v>0</v>
      </c>
      <c r="F34" s="14">
        <f>SUM(F3:F33)</f>
        <v>-53751</v>
      </c>
    </row>
    <row r="35" spans="1:6" x14ac:dyDescent="0.25">
      <c r="D35" s="14"/>
      <c r="E35" s="14"/>
      <c r="F35" s="14"/>
    </row>
    <row r="36" spans="1:6" x14ac:dyDescent="0.25">
      <c r="F36" s="354"/>
    </row>
    <row r="37" spans="1:6" x14ac:dyDescent="0.25">
      <c r="A37" s="264">
        <v>37072</v>
      </c>
      <c r="B37" s="14"/>
      <c r="C37" s="14"/>
      <c r="D37" s="14"/>
      <c r="E37" s="14"/>
      <c r="F37" s="376">
        <f>72277+120061</f>
        <v>192338</v>
      </c>
    </row>
    <row r="38" spans="1:6" x14ac:dyDescent="0.25">
      <c r="A38" s="264">
        <v>37090</v>
      </c>
      <c r="B38" s="14"/>
      <c r="C38" s="14"/>
      <c r="D38" s="14"/>
      <c r="E38" s="14"/>
      <c r="F38" s="150">
        <f>+F37+F34</f>
        <v>138587</v>
      </c>
    </row>
    <row r="39" spans="1:6" x14ac:dyDescent="0.25">
      <c r="F39" s="306"/>
    </row>
    <row r="40" spans="1:6" x14ac:dyDescent="0.25">
      <c r="F40" s="306"/>
    </row>
    <row r="41" spans="1:6" x14ac:dyDescent="0.25">
      <c r="F41" s="306"/>
    </row>
    <row r="42" spans="1:6" x14ac:dyDescent="0.25">
      <c r="F42" s="306"/>
    </row>
    <row r="43" spans="1:6" x14ac:dyDescent="0.25">
      <c r="F43" s="306"/>
    </row>
    <row r="44" spans="1:6" x14ac:dyDescent="0.25">
      <c r="F44" s="306"/>
    </row>
    <row r="45" spans="1:6" x14ac:dyDescent="0.25">
      <c r="F45" s="306"/>
    </row>
    <row r="46" spans="1:6" x14ac:dyDescent="0.25">
      <c r="F46" s="306"/>
    </row>
    <row r="47" spans="1:6" x14ac:dyDescent="0.25">
      <c r="F47" s="306"/>
    </row>
    <row r="48" spans="1:6" x14ac:dyDescent="0.25">
      <c r="F48" s="3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A41" sqref="A41"/>
    </sheetView>
  </sheetViews>
  <sheetFormatPr defaultRowHeight="13.2" x14ac:dyDescent="0.25"/>
  <cols>
    <col min="2" max="2" width="9.3320312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5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5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5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5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5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5">
      <c r="A10" s="10">
        <v>7</v>
      </c>
      <c r="B10" s="129">
        <v>-46378</v>
      </c>
      <c r="C10" s="11">
        <v>-45798</v>
      </c>
      <c r="D10" s="25">
        <f t="shared" si="0"/>
        <v>580</v>
      </c>
    </row>
    <row r="11" spans="1:4" x14ac:dyDescent="0.25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5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5">
      <c r="A13" s="10">
        <v>10</v>
      </c>
      <c r="B13" s="11">
        <v>-35607</v>
      </c>
      <c r="C13" s="11">
        <v>-37607</v>
      </c>
      <c r="D13" s="25">
        <f t="shared" si="0"/>
        <v>-2000</v>
      </c>
    </row>
    <row r="14" spans="1:4" x14ac:dyDescent="0.25">
      <c r="A14" s="10">
        <v>11</v>
      </c>
      <c r="B14" s="11">
        <v>-40133</v>
      </c>
      <c r="C14" s="11">
        <v>-39474</v>
      </c>
      <c r="D14" s="25">
        <f t="shared" si="0"/>
        <v>659</v>
      </c>
    </row>
    <row r="15" spans="1:4" x14ac:dyDescent="0.25">
      <c r="A15" s="10">
        <v>12</v>
      </c>
      <c r="B15" s="11">
        <v>-41999</v>
      </c>
      <c r="C15" s="11">
        <v>-41904</v>
      </c>
      <c r="D15" s="25">
        <f t="shared" si="0"/>
        <v>95</v>
      </c>
    </row>
    <row r="16" spans="1:4" x14ac:dyDescent="0.25">
      <c r="A16" s="10">
        <v>13</v>
      </c>
      <c r="B16" s="11">
        <v>-41383</v>
      </c>
      <c r="C16" s="11">
        <v>-40511</v>
      </c>
      <c r="D16" s="25">
        <f t="shared" si="0"/>
        <v>872</v>
      </c>
    </row>
    <row r="17" spans="1:4" x14ac:dyDescent="0.25">
      <c r="A17" s="10">
        <v>14</v>
      </c>
      <c r="B17" s="11">
        <v>-51938</v>
      </c>
      <c r="C17" s="11">
        <v>-49873</v>
      </c>
      <c r="D17" s="25">
        <f t="shared" si="0"/>
        <v>2065</v>
      </c>
    </row>
    <row r="18" spans="1:4" x14ac:dyDescent="0.25">
      <c r="A18" s="10">
        <v>15</v>
      </c>
      <c r="B18" s="11">
        <v>-35328</v>
      </c>
      <c r="C18" s="11">
        <v>-34932</v>
      </c>
      <c r="D18" s="25">
        <f t="shared" si="0"/>
        <v>396</v>
      </c>
    </row>
    <row r="19" spans="1:4" x14ac:dyDescent="0.25">
      <c r="A19" s="10">
        <v>16</v>
      </c>
      <c r="B19" s="11">
        <v>-31944</v>
      </c>
      <c r="C19" s="11">
        <v>-31192</v>
      </c>
      <c r="D19" s="25">
        <f t="shared" si="0"/>
        <v>752</v>
      </c>
    </row>
    <row r="20" spans="1:4" x14ac:dyDescent="0.25">
      <c r="A20" s="10">
        <v>17</v>
      </c>
      <c r="B20" s="11">
        <v>-38883</v>
      </c>
      <c r="C20" s="11">
        <v>-37933</v>
      </c>
      <c r="D20" s="25">
        <f t="shared" si="0"/>
        <v>950</v>
      </c>
    </row>
    <row r="21" spans="1:4" x14ac:dyDescent="0.25">
      <c r="A21" s="10">
        <v>18</v>
      </c>
      <c r="B21" s="11">
        <v>-35984</v>
      </c>
      <c r="C21" s="11">
        <v>-35687</v>
      </c>
      <c r="D21" s="25">
        <f t="shared" si="0"/>
        <v>297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-721313</v>
      </c>
      <c r="C35" s="11">
        <f>SUM(C4:C34)</f>
        <v>-723738</v>
      </c>
      <c r="D35" s="11">
        <f>SUM(D4:D34)</f>
        <v>-2425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37072</v>
      </c>
      <c r="D38" s="380">
        <v>133095</v>
      </c>
    </row>
    <row r="39" spans="1:4" x14ac:dyDescent="0.25">
      <c r="A39" s="2"/>
      <c r="D39" s="24"/>
    </row>
    <row r="40" spans="1:4" x14ac:dyDescent="0.25">
      <c r="A40" s="57">
        <v>37090</v>
      </c>
      <c r="D40" s="51">
        <f>+D38+D35</f>
        <v>130670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workbookViewId="3">
      <selection activeCell="E22" sqref="E2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20608</v>
      </c>
      <c r="C8" s="11">
        <v>18500</v>
      </c>
      <c r="D8" s="129">
        <v>9842</v>
      </c>
      <c r="E8" s="11">
        <v>8500</v>
      </c>
      <c r="F8" s="11"/>
      <c r="G8" s="11"/>
      <c r="H8" s="11"/>
      <c r="I8" s="11"/>
      <c r="J8" s="11">
        <f t="shared" si="0"/>
        <v>-3450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24931</v>
      </c>
      <c r="C10" s="11">
        <v>28000</v>
      </c>
      <c r="D10" s="129">
        <v>9412</v>
      </c>
      <c r="E10" s="11">
        <v>9000</v>
      </c>
      <c r="F10" s="11"/>
      <c r="G10" s="11"/>
      <c r="H10" s="11"/>
      <c r="I10" s="11"/>
      <c r="J10" s="11">
        <f t="shared" si="0"/>
        <v>2657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22133</v>
      </c>
      <c r="C14" s="11">
        <v>26299</v>
      </c>
      <c r="D14" s="11">
        <v>9452</v>
      </c>
      <c r="E14" s="11">
        <v>9000</v>
      </c>
      <c r="F14" s="11"/>
      <c r="G14" s="11"/>
      <c r="H14" s="11"/>
      <c r="I14" s="11"/>
      <c r="J14" s="11">
        <f t="shared" si="0"/>
        <v>3714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25695</v>
      </c>
      <c r="C15" s="11">
        <v>26013</v>
      </c>
      <c r="D15" s="11">
        <v>9148</v>
      </c>
      <c r="E15" s="11">
        <v>8834</v>
      </c>
      <c r="F15" s="11"/>
      <c r="G15" s="11"/>
      <c r="H15" s="11"/>
      <c r="I15" s="11"/>
      <c r="J15" s="11">
        <f t="shared" si="0"/>
        <v>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27986</v>
      </c>
      <c r="C16" s="11">
        <v>23782</v>
      </c>
      <c r="D16" s="11">
        <v>8904</v>
      </c>
      <c r="E16" s="11">
        <v>8727</v>
      </c>
      <c r="F16" s="11"/>
      <c r="G16" s="11"/>
      <c r="H16" s="11"/>
      <c r="I16" s="11">
        <v>1474</v>
      </c>
      <c r="J16" s="11">
        <f t="shared" si="0"/>
        <v>-2907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27921</v>
      </c>
      <c r="C17" s="11">
        <v>23994</v>
      </c>
      <c r="D17" s="11">
        <v>8574</v>
      </c>
      <c r="E17" s="11">
        <v>8998</v>
      </c>
      <c r="F17" s="11"/>
      <c r="G17" s="11"/>
      <c r="H17" s="11"/>
      <c r="I17" s="11"/>
      <c r="J17" s="11">
        <f t="shared" si="0"/>
        <v>-3503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27885</v>
      </c>
      <c r="C18" s="11">
        <v>19005</v>
      </c>
      <c r="D18" s="11">
        <v>8855</v>
      </c>
      <c r="E18" s="11">
        <v>7128</v>
      </c>
      <c r="F18" s="11"/>
      <c r="G18" s="11"/>
      <c r="H18" s="11"/>
      <c r="I18" s="11"/>
      <c r="J18" s="11">
        <f t="shared" si="0"/>
        <v>-10607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27959</v>
      </c>
      <c r="C19" s="11">
        <v>23994</v>
      </c>
      <c r="D19" s="11">
        <v>9328</v>
      </c>
      <c r="E19" s="11">
        <v>8998</v>
      </c>
      <c r="F19" s="11"/>
      <c r="G19" s="11"/>
      <c r="H19" s="11"/>
      <c r="I19" s="11"/>
      <c r="J19" s="11">
        <f t="shared" si="0"/>
        <v>-4295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27952</v>
      </c>
      <c r="C20" s="11">
        <v>23993</v>
      </c>
      <c r="D20" s="11">
        <v>9358</v>
      </c>
      <c r="E20" s="11">
        <v>8997</v>
      </c>
      <c r="F20" s="11"/>
      <c r="G20" s="11"/>
      <c r="H20" s="11"/>
      <c r="I20" s="11"/>
      <c r="J20" s="11">
        <f t="shared" si="0"/>
        <v>-4320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27969</v>
      </c>
      <c r="C21" s="11">
        <v>23560</v>
      </c>
      <c r="D21" s="11">
        <v>9040</v>
      </c>
      <c r="E21" s="11">
        <v>8836</v>
      </c>
      <c r="F21" s="11"/>
      <c r="G21" s="11"/>
      <c r="H21" s="11"/>
      <c r="I21" s="11"/>
      <c r="J21" s="11">
        <f t="shared" si="0"/>
        <v>-4613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445846</v>
      </c>
      <c r="C35" s="11">
        <f t="shared" ref="C35:I35" si="1">SUM(C4:C34)</f>
        <v>425939</v>
      </c>
      <c r="D35" s="11">
        <f t="shared" si="1"/>
        <v>160775</v>
      </c>
      <c r="E35" s="11">
        <f t="shared" si="1"/>
        <v>157518</v>
      </c>
      <c r="F35" s="11">
        <f t="shared" si="1"/>
        <v>32974</v>
      </c>
      <c r="G35" s="11">
        <f t="shared" si="1"/>
        <v>24000</v>
      </c>
      <c r="H35" s="11">
        <f t="shared" si="1"/>
        <v>1474</v>
      </c>
      <c r="I35" s="11">
        <f t="shared" si="1"/>
        <v>1474</v>
      </c>
      <c r="J35" s="11">
        <f>SUM(J4:J34)</f>
        <v>-32138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2.77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-89022.26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37072</v>
      </c>
      <c r="C39" s="25"/>
      <c r="E39" s="25"/>
      <c r="G39" s="25"/>
      <c r="I39" s="25"/>
      <c r="J39" s="378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40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37090</v>
      </c>
      <c r="J41" s="340">
        <f>+J39+J37</f>
        <v>245024.72999999998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5" workbookViewId="3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6">
        <v>12353</v>
      </c>
      <c r="C4" s="24" t="s">
        <v>130</v>
      </c>
      <c r="D4" s="236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-31429</v>
      </c>
      <c r="E9" s="24">
        <v>-37675</v>
      </c>
      <c r="F9" s="24">
        <f t="shared" si="0"/>
        <v>-6246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-55515</v>
      </c>
      <c r="E11" s="24">
        <v>-53290</v>
      </c>
      <c r="F11" s="24">
        <f t="shared" si="0"/>
        <v>2225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3">
        <v>-54660</v>
      </c>
      <c r="E12" s="24">
        <v>-54207</v>
      </c>
      <c r="F12" s="24">
        <f t="shared" si="0"/>
        <v>453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-64278</v>
      </c>
      <c r="E13" s="24">
        <v>-65832</v>
      </c>
      <c r="F13" s="24">
        <f t="shared" si="0"/>
        <v>-1554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-80878</v>
      </c>
      <c r="E15" s="24">
        <v>-83278</v>
      </c>
      <c r="F15" s="24">
        <f t="shared" si="0"/>
        <v>-2400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-39218</v>
      </c>
      <c r="E16" s="24">
        <v>-34972</v>
      </c>
      <c r="F16" s="24">
        <f t="shared" si="0"/>
        <v>4246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-75159</v>
      </c>
      <c r="E17" s="24">
        <v>-76610</v>
      </c>
      <c r="F17" s="24">
        <f t="shared" si="0"/>
        <v>-1451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-84552</v>
      </c>
      <c r="E18" s="24">
        <v>-83645</v>
      </c>
      <c r="F18" s="24">
        <f t="shared" si="0"/>
        <v>907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-75573</v>
      </c>
      <c r="E19" s="24">
        <v>-76004</v>
      </c>
      <c r="F19" s="24">
        <f t="shared" si="0"/>
        <v>-431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-76895</v>
      </c>
      <c r="E20" s="24">
        <v>-77595</v>
      </c>
      <c r="F20" s="24">
        <f t="shared" si="0"/>
        <v>-700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-71854</v>
      </c>
      <c r="E21" s="24">
        <v>-71004</v>
      </c>
      <c r="F21" s="24">
        <f t="shared" si="0"/>
        <v>850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-64280</v>
      </c>
      <c r="E22" s="24">
        <v>-68313</v>
      </c>
      <c r="F22" s="24">
        <f t="shared" si="0"/>
        <v>-4033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-19489</v>
      </c>
      <c r="E23" s="24">
        <v>-24368</v>
      </c>
      <c r="F23" s="24">
        <f t="shared" si="0"/>
        <v>-4879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-1025328</v>
      </c>
      <c r="E37" s="24">
        <f>SUM(E6:E36)</f>
        <v>-1036598</v>
      </c>
      <c r="F37" s="24">
        <f>SUM(F6:F36)</f>
        <v>-11270</v>
      </c>
      <c r="G37" s="343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81</v>
      </c>
      <c r="E38" s="14"/>
      <c r="F38" s="104">
        <f>+summary!H4</f>
        <v>2.77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-31217.9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377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37090</v>
      </c>
      <c r="E41" s="14"/>
      <c r="F41" s="104">
        <f>+F40+F39</f>
        <v>524235.18999999994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A42" sqref="A42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5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5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5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5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5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5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5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5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5">
      <c r="A17" s="10">
        <v>10</v>
      </c>
      <c r="B17" s="11"/>
      <c r="C17" s="11"/>
      <c r="D17" s="11">
        <v>32</v>
      </c>
      <c r="E17" s="11"/>
      <c r="F17" s="25">
        <f t="shared" si="0"/>
        <v>-32</v>
      </c>
      <c r="J17" s="344"/>
    </row>
    <row r="18" spans="1:10" x14ac:dyDescent="0.25">
      <c r="A18" s="10">
        <v>11</v>
      </c>
      <c r="B18" s="11"/>
      <c r="C18" s="11"/>
      <c r="D18" s="11">
        <v>31</v>
      </c>
      <c r="E18" s="11"/>
      <c r="F18" s="25">
        <f t="shared" si="0"/>
        <v>-31</v>
      </c>
      <c r="J18" s="32"/>
    </row>
    <row r="19" spans="1:10" x14ac:dyDescent="0.25">
      <c r="A19" s="10">
        <v>12</v>
      </c>
      <c r="B19" s="11"/>
      <c r="C19" s="11"/>
      <c r="D19" s="11">
        <v>27</v>
      </c>
      <c r="E19" s="11"/>
      <c r="F19" s="25">
        <f t="shared" si="0"/>
        <v>-27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>
        <v>8</v>
      </c>
      <c r="E21" s="11"/>
      <c r="F21" s="25">
        <f t="shared" si="0"/>
        <v>-8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303</v>
      </c>
      <c r="E39" s="11">
        <f>SUM(E8:E38)</f>
        <v>0</v>
      </c>
      <c r="F39" s="25">
        <f>SUM(F8:F38)</f>
        <v>-303</v>
      </c>
    </row>
    <row r="40" spans="1:6" x14ac:dyDescent="0.25">
      <c r="A40" s="26"/>
      <c r="C40" s="14"/>
      <c r="F40" s="261">
        <f>+summary!H4</f>
        <v>2.77</v>
      </c>
    </row>
    <row r="41" spans="1:6" x14ac:dyDescent="0.25">
      <c r="F41" s="138">
        <f>+F40*F39</f>
        <v>-839.31000000000006</v>
      </c>
    </row>
    <row r="42" spans="1:6" x14ac:dyDescent="0.25">
      <c r="A42" s="57">
        <v>37072</v>
      </c>
      <c r="C42" s="15"/>
      <c r="F42" s="375">
        <v>-13969.77</v>
      </c>
    </row>
    <row r="43" spans="1:6" x14ac:dyDescent="0.25">
      <c r="A43" s="57">
        <v>37090</v>
      </c>
      <c r="C43" s="48"/>
      <c r="F43" s="138">
        <f>+F42+F41</f>
        <v>-14809.08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4" sqref="A44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5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5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261">
        <f>+summary!H4</f>
        <v>2.77</v>
      </c>
    </row>
    <row r="41" spans="1:4" x14ac:dyDescent="0.25">
      <c r="D41" s="138">
        <f>+D40*D39</f>
        <v>0</v>
      </c>
    </row>
    <row r="42" spans="1:4" x14ac:dyDescent="0.25">
      <c r="A42" s="57">
        <v>37072</v>
      </c>
      <c r="C42" s="15"/>
      <c r="D42" s="375">
        <v>326755</v>
      </c>
    </row>
    <row r="43" spans="1:4" x14ac:dyDescent="0.25">
      <c r="A43" s="57">
        <v>37090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1" workbookViewId="3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136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5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5">
      <c r="A8" s="10">
        <v>3</v>
      </c>
      <c r="B8" s="11">
        <v>-74100</v>
      </c>
      <c r="C8" s="11">
        <v>-50000</v>
      </c>
      <c r="D8" s="25">
        <f t="shared" si="0"/>
        <v>24100</v>
      </c>
    </row>
    <row r="9" spans="1:4" x14ac:dyDescent="0.25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5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5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5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5">
      <c r="A13" s="10">
        <v>8</v>
      </c>
      <c r="B13" s="11">
        <v>-77368</v>
      </c>
      <c r="C13" s="11">
        <v>-65294</v>
      </c>
      <c r="D13" s="25">
        <f t="shared" si="0"/>
        <v>12074</v>
      </c>
    </row>
    <row r="14" spans="1:4" x14ac:dyDescent="0.25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5">
      <c r="A15" s="10">
        <v>10</v>
      </c>
      <c r="B15" s="11">
        <v>-74053</v>
      </c>
      <c r="C15" s="11">
        <v>-65300</v>
      </c>
      <c r="D15" s="25">
        <f t="shared" si="0"/>
        <v>8753</v>
      </c>
    </row>
    <row r="16" spans="1:4" x14ac:dyDescent="0.25">
      <c r="A16" s="10">
        <v>11</v>
      </c>
      <c r="B16" s="11">
        <v>-59911</v>
      </c>
      <c r="C16" s="11">
        <v>-65300</v>
      </c>
      <c r="D16" s="25">
        <f t="shared" si="0"/>
        <v>-5389</v>
      </c>
    </row>
    <row r="17" spans="1:4" x14ac:dyDescent="0.25">
      <c r="A17" s="10">
        <v>12</v>
      </c>
      <c r="B17" s="11">
        <v>-39861</v>
      </c>
      <c r="C17" s="11">
        <v>-65300</v>
      </c>
      <c r="D17" s="25">
        <f t="shared" si="0"/>
        <v>-25439</v>
      </c>
    </row>
    <row r="18" spans="1:4" x14ac:dyDescent="0.25">
      <c r="A18" s="10">
        <v>13</v>
      </c>
      <c r="B18" s="11">
        <v>-40819</v>
      </c>
      <c r="C18" s="11">
        <v>-50000</v>
      </c>
      <c r="D18" s="25">
        <f t="shared" si="0"/>
        <v>-9181</v>
      </c>
    </row>
    <row r="19" spans="1:4" x14ac:dyDescent="0.25">
      <c r="A19" s="10">
        <v>14</v>
      </c>
      <c r="B19" s="11">
        <v>-40812</v>
      </c>
      <c r="C19" s="11">
        <v>-48975</v>
      </c>
      <c r="D19" s="25">
        <f t="shared" si="0"/>
        <v>-8163</v>
      </c>
    </row>
    <row r="20" spans="1:4" x14ac:dyDescent="0.25">
      <c r="A20" s="10">
        <v>15</v>
      </c>
      <c r="B20" s="11">
        <v>-66605</v>
      </c>
      <c r="C20" s="11">
        <v>-30000</v>
      </c>
      <c r="D20" s="25">
        <f t="shared" si="0"/>
        <v>36605</v>
      </c>
    </row>
    <row r="21" spans="1:4" x14ac:dyDescent="0.25">
      <c r="A21" s="10">
        <v>16</v>
      </c>
      <c r="B21" s="11">
        <v>-67805</v>
      </c>
      <c r="C21" s="11">
        <v>-53655</v>
      </c>
      <c r="D21" s="25">
        <f t="shared" si="0"/>
        <v>14150</v>
      </c>
    </row>
    <row r="22" spans="1:4" x14ac:dyDescent="0.25">
      <c r="A22" s="10">
        <v>17</v>
      </c>
      <c r="B22" s="11">
        <v>-73221</v>
      </c>
      <c r="C22" s="11">
        <v>-50000</v>
      </c>
      <c r="D22" s="25">
        <f t="shared" si="0"/>
        <v>23221</v>
      </c>
    </row>
    <row r="23" spans="1:4" x14ac:dyDescent="0.25">
      <c r="A23" s="10">
        <v>18</v>
      </c>
      <c r="B23" s="11">
        <v>-62021</v>
      </c>
      <c r="C23" s="11">
        <v>-68300</v>
      </c>
      <c r="D23" s="25">
        <f t="shared" si="0"/>
        <v>-6279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-1116245</v>
      </c>
      <c r="C37" s="11">
        <f>SUM(C6:C36)</f>
        <v>-977648</v>
      </c>
      <c r="D37" s="25">
        <f>SUM(D6:D36)</f>
        <v>138597</v>
      </c>
    </row>
    <row r="38" spans="1:4" x14ac:dyDescent="0.25">
      <c r="A38" s="26"/>
      <c r="C38" s="14"/>
      <c r="D38" s="349">
        <f>+summary!H4</f>
        <v>2.77</v>
      </c>
    </row>
    <row r="39" spans="1:4" x14ac:dyDescent="0.25">
      <c r="D39" s="138">
        <f>+D38*D37</f>
        <v>383913.69</v>
      </c>
    </row>
    <row r="40" spans="1:4" x14ac:dyDescent="0.25">
      <c r="A40" s="57">
        <v>37072</v>
      </c>
      <c r="C40" s="15"/>
      <c r="D40" s="375">
        <v>-372693.65</v>
      </c>
    </row>
    <row r="41" spans="1:4" x14ac:dyDescent="0.25">
      <c r="A41" s="57">
        <v>37090</v>
      </c>
      <c r="C41" s="48"/>
      <c r="D41" s="138">
        <f>+D40+D39</f>
        <v>11220.039999999979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1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134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41391</v>
      </c>
      <c r="C6" s="11">
        <v>40000</v>
      </c>
      <c r="D6" s="25">
        <f>+C6-B6</f>
        <v>-1391</v>
      </c>
    </row>
    <row r="7" spans="1:4" x14ac:dyDescent="0.25">
      <c r="A7" s="10">
        <v>2</v>
      </c>
      <c r="B7" s="11">
        <v>45177</v>
      </c>
      <c r="C7" s="11">
        <v>42000</v>
      </c>
      <c r="D7" s="25">
        <f t="shared" ref="D7:D36" si="0">+C7-B7</f>
        <v>-3177</v>
      </c>
    </row>
    <row r="8" spans="1:4" x14ac:dyDescent="0.25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5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5">
      <c r="A10" s="10">
        <v>5</v>
      </c>
      <c r="B10" s="11">
        <v>41645</v>
      </c>
      <c r="C10" s="11">
        <v>40500</v>
      </c>
      <c r="D10" s="25">
        <f t="shared" si="0"/>
        <v>-1145</v>
      </c>
    </row>
    <row r="11" spans="1:4" x14ac:dyDescent="0.25">
      <c r="A11" s="10">
        <v>6</v>
      </c>
      <c r="B11" s="108">
        <v>41817</v>
      </c>
      <c r="C11" s="11">
        <v>38926</v>
      </c>
      <c r="D11" s="25">
        <f t="shared" si="0"/>
        <v>-2891</v>
      </c>
    </row>
    <row r="12" spans="1:4" x14ac:dyDescent="0.25">
      <c r="A12" s="10">
        <v>7</v>
      </c>
      <c r="B12" s="108">
        <v>43253</v>
      </c>
      <c r="C12" s="11">
        <v>39977</v>
      </c>
      <c r="D12" s="25">
        <f t="shared" si="0"/>
        <v>-3276</v>
      </c>
    </row>
    <row r="13" spans="1:4" x14ac:dyDescent="0.25">
      <c r="A13" s="10">
        <v>8</v>
      </c>
      <c r="B13" s="11">
        <v>41966</v>
      </c>
      <c r="C13" s="11">
        <v>40000</v>
      </c>
      <c r="D13" s="25">
        <f t="shared" si="0"/>
        <v>-1966</v>
      </c>
    </row>
    <row r="14" spans="1:4" x14ac:dyDescent="0.25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5">
      <c r="A15" s="10">
        <v>10</v>
      </c>
      <c r="B15" s="108">
        <v>13372</v>
      </c>
      <c r="C15" s="11">
        <v>11000</v>
      </c>
      <c r="D15" s="25">
        <f t="shared" si="0"/>
        <v>-2372</v>
      </c>
    </row>
    <row r="16" spans="1:4" x14ac:dyDescent="0.25">
      <c r="A16" s="10">
        <v>11</v>
      </c>
      <c r="B16" s="11">
        <v>11783</v>
      </c>
      <c r="C16" s="11">
        <v>11000</v>
      </c>
      <c r="D16" s="25">
        <f t="shared" si="0"/>
        <v>-783</v>
      </c>
    </row>
    <row r="17" spans="1:4" x14ac:dyDescent="0.25">
      <c r="A17" s="10">
        <v>12</v>
      </c>
      <c r="B17" s="11">
        <v>38810</v>
      </c>
      <c r="C17" s="11">
        <v>26395</v>
      </c>
      <c r="D17" s="25">
        <f t="shared" si="0"/>
        <v>-12415</v>
      </c>
    </row>
    <row r="18" spans="1:4" x14ac:dyDescent="0.25">
      <c r="A18" s="10">
        <v>13</v>
      </c>
      <c r="B18" s="11">
        <v>36764</v>
      </c>
      <c r="C18" s="11">
        <v>33473</v>
      </c>
      <c r="D18" s="25">
        <f t="shared" si="0"/>
        <v>-3291</v>
      </c>
    </row>
    <row r="19" spans="1:4" x14ac:dyDescent="0.25">
      <c r="A19" s="10">
        <v>14</v>
      </c>
      <c r="B19" s="11">
        <v>39824</v>
      </c>
      <c r="C19" s="11">
        <v>38500</v>
      </c>
      <c r="D19" s="25">
        <f t="shared" si="0"/>
        <v>-1324</v>
      </c>
    </row>
    <row r="20" spans="1:4" x14ac:dyDescent="0.25">
      <c r="A20" s="10">
        <v>15</v>
      </c>
      <c r="B20" s="11">
        <v>39336</v>
      </c>
      <c r="C20" s="11">
        <v>37118</v>
      </c>
      <c r="D20" s="25">
        <f t="shared" si="0"/>
        <v>-2218</v>
      </c>
    </row>
    <row r="21" spans="1:4" x14ac:dyDescent="0.25">
      <c r="A21" s="10">
        <v>16</v>
      </c>
      <c r="B21" s="11">
        <v>38586</v>
      </c>
      <c r="C21" s="11">
        <v>38500</v>
      </c>
      <c r="D21" s="25">
        <f t="shared" si="0"/>
        <v>-86</v>
      </c>
    </row>
    <row r="22" spans="1:4" x14ac:dyDescent="0.25">
      <c r="A22" s="10">
        <v>17</v>
      </c>
      <c r="B22" s="11">
        <v>38586</v>
      </c>
      <c r="C22" s="11">
        <v>40000</v>
      </c>
      <c r="D22" s="25">
        <f t="shared" si="0"/>
        <v>1414</v>
      </c>
    </row>
    <row r="23" spans="1:4" x14ac:dyDescent="0.25">
      <c r="A23" s="10">
        <v>18</v>
      </c>
      <c r="B23" s="11">
        <v>37730</v>
      </c>
      <c r="C23" s="11">
        <v>39991</v>
      </c>
      <c r="D23" s="25">
        <f t="shared" si="0"/>
        <v>2261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680567</v>
      </c>
      <c r="C37" s="11">
        <f>SUM(C6:C36)</f>
        <v>639844</v>
      </c>
      <c r="D37" s="25">
        <f>SUM(D6:D36)</f>
        <v>-40723</v>
      </c>
    </row>
    <row r="38" spans="1:4" x14ac:dyDescent="0.25">
      <c r="A38" s="26"/>
      <c r="C38" s="14"/>
      <c r="D38" s="349">
        <f>+summary!H5</f>
        <v>2.96</v>
      </c>
    </row>
    <row r="39" spans="1:4" x14ac:dyDescent="0.25">
      <c r="D39" s="138">
        <f>+D38*D37</f>
        <v>-120540.08</v>
      </c>
    </row>
    <row r="40" spans="1:4" x14ac:dyDescent="0.25">
      <c r="A40" s="57">
        <v>37072</v>
      </c>
      <c r="C40" s="15"/>
      <c r="D40" s="375">
        <v>-47511.02</v>
      </c>
    </row>
    <row r="41" spans="1:4" x14ac:dyDescent="0.25">
      <c r="A41" s="57">
        <v>37090</v>
      </c>
      <c r="C41" s="48"/>
      <c r="D41" s="138">
        <f>+D40+D39</f>
        <v>-168051.1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E23" sqref="E23"/>
    </sheetView>
    <sheetView topLeftCell="A26" workbookViewId="2">
      <selection activeCell="J38" sqref="J38"/>
    </sheetView>
    <sheetView workbookViewId="3">
      <selection activeCell="A41" sqref="A41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82283</v>
      </c>
      <c r="I11" s="11">
        <v>78910</v>
      </c>
      <c r="J11" s="11">
        <f t="shared" si="0"/>
        <v>9501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29">
        <v>79961</v>
      </c>
      <c r="G13" s="11">
        <v>84690</v>
      </c>
      <c r="H13" s="129">
        <v>33661</v>
      </c>
      <c r="I13" s="11">
        <v>37593</v>
      </c>
      <c r="J13" s="11">
        <f t="shared" si="0"/>
        <v>6524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288106</v>
      </c>
      <c r="C14" s="11">
        <v>285000</v>
      </c>
      <c r="D14" s="11">
        <v>116131</v>
      </c>
      <c r="E14" s="11">
        <v>114192</v>
      </c>
      <c r="F14" s="11">
        <v>77153</v>
      </c>
      <c r="G14" s="11">
        <v>82179</v>
      </c>
      <c r="H14" s="11">
        <v>97419</v>
      </c>
      <c r="I14" s="11">
        <v>89000</v>
      </c>
      <c r="J14" s="11">
        <f t="shared" si="0"/>
        <v>-8438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302416</v>
      </c>
      <c r="C15" s="11">
        <v>297351</v>
      </c>
      <c r="D15" s="11">
        <v>114586</v>
      </c>
      <c r="E15" s="11">
        <v>114492</v>
      </c>
      <c r="F15" s="11">
        <v>78429</v>
      </c>
      <c r="G15" s="11">
        <v>79671</v>
      </c>
      <c r="H15" s="11">
        <v>123159</v>
      </c>
      <c r="I15" s="11">
        <v>122451</v>
      </c>
      <c r="J15" s="11">
        <f t="shared" si="0"/>
        <v>-4625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290181</v>
      </c>
      <c r="C16" s="11">
        <v>292500</v>
      </c>
      <c r="D16" s="11">
        <v>58956</v>
      </c>
      <c r="E16" s="11">
        <v>48688</v>
      </c>
      <c r="F16" s="11">
        <v>76076</v>
      </c>
      <c r="G16" s="11">
        <v>72909</v>
      </c>
      <c r="H16" s="11">
        <v>83406</v>
      </c>
      <c r="I16" s="11">
        <v>89227</v>
      </c>
      <c r="J16" s="11">
        <f t="shared" si="0"/>
        <v>-5295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295716</v>
      </c>
      <c r="C17" s="11">
        <v>328059</v>
      </c>
      <c r="D17" s="11">
        <v>89740</v>
      </c>
      <c r="E17" s="11">
        <v>49690</v>
      </c>
      <c r="F17" s="11">
        <v>70349</v>
      </c>
      <c r="G17" s="11">
        <v>64523</v>
      </c>
      <c r="H17" s="11">
        <v>85909</v>
      </c>
      <c r="I17" s="11">
        <v>98279</v>
      </c>
      <c r="J17" s="11">
        <f t="shared" si="0"/>
        <v>-1163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150114</v>
      </c>
      <c r="C18" s="11">
        <v>262517</v>
      </c>
      <c r="D18" s="11">
        <v>72993</v>
      </c>
      <c r="E18" s="11">
        <v>49904</v>
      </c>
      <c r="F18" s="11">
        <v>66959</v>
      </c>
      <c r="G18" s="11">
        <v>53791</v>
      </c>
      <c r="H18" s="11">
        <v>107469</v>
      </c>
      <c r="I18" s="11">
        <v>92055</v>
      </c>
      <c r="J18" s="11">
        <f t="shared" si="0"/>
        <v>60732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206183</v>
      </c>
      <c r="C19" s="11">
        <v>200001</v>
      </c>
      <c r="D19" s="11">
        <v>55830</v>
      </c>
      <c r="E19" s="11">
        <v>53637</v>
      </c>
      <c r="F19" s="11">
        <v>66528</v>
      </c>
      <c r="G19" s="11">
        <v>64554</v>
      </c>
      <c r="H19" s="11">
        <v>118282</v>
      </c>
      <c r="I19" s="11">
        <v>125928</v>
      </c>
      <c r="J19" s="11">
        <f t="shared" si="0"/>
        <v>-2703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323939</v>
      </c>
      <c r="C20" s="11">
        <v>324139</v>
      </c>
      <c r="D20" s="11">
        <v>30193</v>
      </c>
      <c r="E20" s="11">
        <v>29140</v>
      </c>
      <c r="F20" s="11">
        <v>80866</v>
      </c>
      <c r="G20" s="11">
        <v>84000</v>
      </c>
      <c r="H20" s="11">
        <v>143826</v>
      </c>
      <c r="I20" s="11">
        <v>137532</v>
      </c>
      <c r="J20" s="11">
        <f t="shared" si="0"/>
        <v>-4013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336728</v>
      </c>
      <c r="C21" s="11">
        <v>336000</v>
      </c>
      <c r="D21" s="11">
        <v>25436</v>
      </c>
      <c r="E21" s="11">
        <v>24500</v>
      </c>
      <c r="F21" s="11">
        <v>84593</v>
      </c>
      <c r="G21" s="11">
        <v>84000</v>
      </c>
      <c r="H21" s="11">
        <v>133642</v>
      </c>
      <c r="I21" s="11">
        <v>123524</v>
      </c>
      <c r="J21" s="11">
        <f t="shared" si="0"/>
        <v>-12375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279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5418008</v>
      </c>
      <c r="C35" s="11">
        <f t="shared" ref="C35:I35" si="1">SUM(C4:C34)</f>
        <v>5577997</v>
      </c>
      <c r="D35" s="11">
        <f t="shared" si="1"/>
        <v>1202601</v>
      </c>
      <c r="E35" s="11">
        <f t="shared" si="1"/>
        <v>1037705</v>
      </c>
      <c r="F35" s="11">
        <f t="shared" si="1"/>
        <v>1387667</v>
      </c>
      <c r="G35" s="11">
        <f t="shared" si="1"/>
        <v>1473094</v>
      </c>
      <c r="H35" s="11">
        <f t="shared" si="1"/>
        <v>1693953</v>
      </c>
      <c r="I35" s="11">
        <f t="shared" si="1"/>
        <v>1648826</v>
      </c>
      <c r="J35" s="11">
        <f>SUM(J4:J34)</f>
        <v>35393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37072</v>
      </c>
      <c r="C38" s="25"/>
      <c r="E38" s="25"/>
      <c r="G38" s="25"/>
      <c r="I38" s="25"/>
      <c r="J38" s="372">
        <v>286331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37090</v>
      </c>
      <c r="J40" s="51">
        <f>+J38+J35</f>
        <v>321724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282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2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2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2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8" workbookViewId="3">
      <selection activeCell="B46" sqref="B46"/>
    </sheetView>
  </sheetViews>
  <sheetFormatPr defaultRowHeight="13.2" x14ac:dyDescent="0.25"/>
  <sheetData>
    <row r="3" spans="1:4" ht="13.8" x14ac:dyDescent="0.25">
      <c r="A3" s="134"/>
      <c r="B3" s="34" t="s">
        <v>137</v>
      </c>
    </row>
    <row r="4" spans="1:4" x14ac:dyDescent="0.25">
      <c r="A4" s="3"/>
      <c r="B4" s="59" t="s">
        <v>138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5">
      <c r="A7" s="10">
        <v>2</v>
      </c>
      <c r="B7" s="108">
        <v>72797</v>
      </c>
      <c r="C7" s="11">
        <v>71930</v>
      </c>
      <c r="D7" s="25">
        <f t="shared" ref="D7:D36" si="0">+C7-B7</f>
        <v>-867</v>
      </c>
    </row>
    <row r="8" spans="1:4" x14ac:dyDescent="0.25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5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5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5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5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5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5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5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5">
      <c r="A16" s="10">
        <v>11</v>
      </c>
      <c r="B16" s="11">
        <v>61338</v>
      </c>
      <c r="C16" s="11">
        <v>62345</v>
      </c>
      <c r="D16" s="25">
        <f t="shared" si="0"/>
        <v>1007</v>
      </c>
    </row>
    <row r="17" spans="1:4" x14ac:dyDescent="0.25">
      <c r="A17" s="10">
        <v>12</v>
      </c>
      <c r="B17" s="11">
        <v>60051</v>
      </c>
      <c r="C17" s="11">
        <v>57779</v>
      </c>
      <c r="D17" s="25">
        <f t="shared" si="0"/>
        <v>-2272</v>
      </c>
    </row>
    <row r="18" spans="1:4" x14ac:dyDescent="0.25">
      <c r="A18" s="10">
        <v>13</v>
      </c>
      <c r="B18" s="11">
        <v>58436</v>
      </c>
      <c r="C18" s="11">
        <v>66558</v>
      </c>
      <c r="D18" s="25">
        <f t="shared" si="0"/>
        <v>8122</v>
      </c>
    </row>
    <row r="19" spans="1:4" x14ac:dyDescent="0.25">
      <c r="A19" s="10">
        <v>14</v>
      </c>
      <c r="B19" s="11">
        <v>64611</v>
      </c>
      <c r="C19" s="11">
        <v>63994</v>
      </c>
      <c r="D19" s="25">
        <f t="shared" si="0"/>
        <v>-617</v>
      </c>
    </row>
    <row r="20" spans="1:4" x14ac:dyDescent="0.25">
      <c r="A20" s="10">
        <v>15</v>
      </c>
      <c r="B20" s="11">
        <v>57921</v>
      </c>
      <c r="C20" s="11">
        <v>57393</v>
      </c>
      <c r="D20" s="25">
        <f t="shared" si="0"/>
        <v>-528</v>
      </c>
    </row>
    <row r="21" spans="1:4" x14ac:dyDescent="0.25">
      <c r="A21" s="10">
        <v>16</v>
      </c>
      <c r="B21" s="11">
        <v>62766</v>
      </c>
      <c r="C21" s="11">
        <v>59860</v>
      </c>
      <c r="D21" s="25">
        <f t="shared" si="0"/>
        <v>-2906</v>
      </c>
    </row>
    <row r="22" spans="1:4" x14ac:dyDescent="0.25">
      <c r="A22" s="10">
        <v>17</v>
      </c>
      <c r="B22" s="11">
        <v>52798</v>
      </c>
      <c r="C22" s="11">
        <v>49523</v>
      </c>
      <c r="D22" s="25">
        <f t="shared" si="0"/>
        <v>-3275</v>
      </c>
    </row>
    <row r="23" spans="1:4" x14ac:dyDescent="0.25">
      <c r="A23" s="10">
        <v>18</v>
      </c>
      <c r="B23" s="11">
        <v>54414</v>
      </c>
      <c r="C23" s="11">
        <v>55683</v>
      </c>
      <c r="D23" s="25">
        <f t="shared" si="0"/>
        <v>1269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1100540</v>
      </c>
      <c r="C37" s="11">
        <f>SUM(C6:C36)</f>
        <v>1122144</v>
      </c>
      <c r="D37" s="25">
        <f>SUM(D6:D36)</f>
        <v>21604</v>
      </c>
    </row>
    <row r="38" spans="1:4" x14ac:dyDescent="0.25">
      <c r="A38" s="26"/>
      <c r="C38" s="14"/>
      <c r="D38" s="349">
        <f>+summary!H5</f>
        <v>2.96</v>
      </c>
    </row>
    <row r="39" spans="1:4" x14ac:dyDescent="0.25">
      <c r="D39" s="138">
        <f>+D38*D37</f>
        <v>63947.839999999997</v>
      </c>
    </row>
    <row r="40" spans="1:4" x14ac:dyDescent="0.25">
      <c r="A40" s="57">
        <v>37072</v>
      </c>
      <c r="C40" s="15"/>
      <c r="D40" s="375">
        <v>0</v>
      </c>
    </row>
    <row r="41" spans="1:4" x14ac:dyDescent="0.25">
      <c r="A41" s="57">
        <v>37090</v>
      </c>
      <c r="C41" s="48"/>
      <c r="D41" s="138">
        <f>+D40+D39</f>
        <v>63947.839999999997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C38" sqref="C38"/>
    </sheetView>
  </sheetViews>
  <sheetFormatPr defaultRowHeight="13.2" x14ac:dyDescent="0.25"/>
  <sheetData>
    <row r="3" spans="1:5" ht="13.8" x14ac:dyDescent="0.25">
      <c r="A3" s="134"/>
      <c r="B3" s="3" t="s">
        <v>139</v>
      </c>
      <c r="C3" s="87"/>
      <c r="D3" s="87"/>
      <c r="E3" s="87"/>
    </row>
    <row r="4" spans="1:5" x14ac:dyDescent="0.25">
      <c r="A4" s="3"/>
      <c r="B4" s="351" t="s">
        <v>140</v>
      </c>
      <c r="C4" s="87"/>
      <c r="D4" s="3"/>
      <c r="E4" s="87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/>
      <c r="C6" s="11">
        <v>-2198</v>
      </c>
      <c r="D6" s="25">
        <f>+C6-B6</f>
        <v>-2198</v>
      </c>
    </row>
    <row r="7" spans="1:5" x14ac:dyDescent="0.25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5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5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5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5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5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5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5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5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5">
      <c r="A16" s="10">
        <v>11</v>
      </c>
      <c r="B16" s="11">
        <v>-2087</v>
      </c>
      <c r="C16" s="11">
        <v>-2139</v>
      </c>
      <c r="D16" s="25">
        <f t="shared" si="0"/>
        <v>-52</v>
      </c>
    </row>
    <row r="17" spans="1:4" x14ac:dyDescent="0.25">
      <c r="A17" s="10">
        <v>12</v>
      </c>
      <c r="B17" s="11">
        <v>-2087</v>
      </c>
      <c r="C17" s="11">
        <v>-2139</v>
      </c>
      <c r="D17" s="25">
        <f t="shared" si="0"/>
        <v>-52</v>
      </c>
    </row>
    <row r="18" spans="1:4" x14ac:dyDescent="0.25">
      <c r="A18" s="10">
        <v>13</v>
      </c>
      <c r="B18" s="11">
        <v>-2087</v>
      </c>
      <c r="C18" s="11">
        <v>-3500</v>
      </c>
      <c r="D18" s="25">
        <f t="shared" si="0"/>
        <v>-1413</v>
      </c>
    </row>
    <row r="19" spans="1:4" x14ac:dyDescent="0.25">
      <c r="A19" s="10">
        <v>14</v>
      </c>
      <c r="B19" s="11">
        <v>-2</v>
      </c>
      <c r="C19" s="11">
        <v>-2139</v>
      </c>
      <c r="D19" s="25">
        <f t="shared" si="0"/>
        <v>-2137</v>
      </c>
    </row>
    <row r="20" spans="1:4" x14ac:dyDescent="0.25">
      <c r="A20" s="10">
        <v>15</v>
      </c>
      <c r="B20" s="11">
        <v>-2087</v>
      </c>
      <c r="C20" s="11">
        <v>-2139</v>
      </c>
      <c r="D20" s="25">
        <f t="shared" si="0"/>
        <v>-52</v>
      </c>
    </row>
    <row r="21" spans="1:4" x14ac:dyDescent="0.25">
      <c r="A21" s="10">
        <v>16</v>
      </c>
      <c r="B21" s="11">
        <v>-1977</v>
      </c>
      <c r="C21" s="11">
        <v>-2139</v>
      </c>
      <c r="D21" s="25">
        <f t="shared" si="0"/>
        <v>-162</v>
      </c>
    </row>
    <row r="22" spans="1:4" x14ac:dyDescent="0.25">
      <c r="A22" s="10">
        <v>17</v>
      </c>
      <c r="B22" s="11">
        <v>-1958</v>
      </c>
      <c r="C22" s="11">
        <v>-2671</v>
      </c>
      <c r="D22" s="25">
        <f t="shared" si="0"/>
        <v>-713</v>
      </c>
    </row>
    <row r="23" spans="1:4" x14ac:dyDescent="0.25">
      <c r="A23" s="10">
        <v>18</v>
      </c>
      <c r="B23" s="11">
        <v>-1775</v>
      </c>
      <c r="C23" s="11">
        <v>-2139</v>
      </c>
      <c r="D23" s="25">
        <f t="shared" si="0"/>
        <v>-364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-26586</v>
      </c>
      <c r="C37" s="11">
        <f>SUM(C6:C36)</f>
        <v>-39408</v>
      </c>
      <c r="D37" s="25">
        <f>SUM(D6:D36)</f>
        <v>-12822</v>
      </c>
    </row>
    <row r="38" spans="1:4" x14ac:dyDescent="0.25">
      <c r="A38" s="26"/>
      <c r="C38" s="14"/>
      <c r="D38" s="349">
        <f>+summary!H4</f>
        <v>2.77</v>
      </c>
    </row>
    <row r="39" spans="1:4" x14ac:dyDescent="0.25">
      <c r="D39" s="138">
        <f>+D38*D37</f>
        <v>-35516.94</v>
      </c>
    </row>
    <row r="40" spans="1:4" x14ac:dyDescent="0.25">
      <c r="A40" s="57">
        <v>37072</v>
      </c>
      <c r="C40" s="15"/>
      <c r="D40" s="375">
        <v>-354102.16</v>
      </c>
    </row>
    <row r="41" spans="1:4" x14ac:dyDescent="0.25">
      <c r="A41" s="57">
        <v>37090</v>
      </c>
      <c r="C41" s="48"/>
      <c r="D41" s="138">
        <f>+D40+D39</f>
        <v>-389619.1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8" workbookViewId="3">
      <selection activeCell="B50" sqref="B5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146</v>
      </c>
      <c r="C3" s="87"/>
      <c r="D3" s="87"/>
    </row>
    <row r="4" spans="1:4" x14ac:dyDescent="0.25">
      <c r="A4" s="3"/>
      <c r="B4" s="351" t="s">
        <v>142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5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5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-349</v>
      </c>
      <c r="C23" s="11"/>
      <c r="D23" s="25">
        <f t="shared" si="0"/>
        <v>349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-349</v>
      </c>
      <c r="C37" s="11">
        <f>SUM(C6:C36)</f>
        <v>0</v>
      </c>
      <c r="D37" s="25">
        <f>SUM(D6:D36)</f>
        <v>349</v>
      </c>
    </row>
    <row r="38" spans="1:4" x14ac:dyDescent="0.25">
      <c r="A38" s="26"/>
      <c r="C38" s="14"/>
      <c r="D38" s="349">
        <f>+summary!H4</f>
        <v>2.77</v>
      </c>
    </row>
    <row r="39" spans="1:4" x14ac:dyDescent="0.25">
      <c r="D39" s="138">
        <f>+D38*D37</f>
        <v>966.73</v>
      </c>
    </row>
    <row r="40" spans="1:4" x14ac:dyDescent="0.25">
      <c r="A40" s="57">
        <v>37072</v>
      </c>
      <c r="C40" s="15"/>
      <c r="D40" s="375">
        <v>-216141.13</v>
      </c>
    </row>
    <row r="41" spans="1:4" x14ac:dyDescent="0.25">
      <c r="A41" s="57">
        <v>37090</v>
      </c>
      <c r="C41" s="48"/>
      <c r="D41" s="138">
        <f>+D40+D39</f>
        <v>-215174.39999999999</v>
      </c>
    </row>
    <row r="42" spans="1:4" x14ac:dyDescent="0.25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141</v>
      </c>
      <c r="B3" s="88"/>
      <c r="C3" s="266"/>
      <c r="D3" s="88"/>
    </row>
    <row r="4" spans="1:13" x14ac:dyDescent="0.25">
      <c r="A4" s="87"/>
      <c r="B4" s="262" t="s">
        <v>20</v>
      </c>
      <c r="C4" s="262" t="s">
        <v>21</v>
      </c>
      <c r="D4" s="263" t="s">
        <v>51</v>
      </c>
    </row>
    <row r="5" spans="1:13" x14ac:dyDescent="0.25">
      <c r="A5" s="87">
        <v>56659</v>
      </c>
      <c r="B5" s="346">
        <v>-6699</v>
      </c>
      <c r="C5" s="90">
        <v>-7858</v>
      </c>
      <c r="D5" s="90">
        <f>+C5-B5</f>
        <v>-1159</v>
      </c>
      <c r="E5" s="286"/>
      <c r="F5" s="284"/>
    </row>
    <row r="6" spans="1:13" x14ac:dyDescent="0.25">
      <c r="A6" s="87">
        <v>500046</v>
      </c>
      <c r="B6" s="90">
        <v>-479</v>
      </c>
      <c r="C6" s="90"/>
      <c r="D6" s="90">
        <f t="shared" ref="D6:D11" si="0">+C6-B6</f>
        <v>479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6"/>
      <c r="F7" s="284"/>
      <c r="L7" t="s">
        <v>26</v>
      </c>
      <c r="M7">
        <v>7.6</v>
      </c>
    </row>
    <row r="8" spans="1:13" x14ac:dyDescent="0.25">
      <c r="A8" s="87">
        <v>500134</v>
      </c>
      <c r="B8" s="92">
        <v>-24</v>
      </c>
      <c r="C8" s="90">
        <v>-121</v>
      </c>
      <c r="D8" s="90">
        <f t="shared" si="0"/>
        <v>-97</v>
      </c>
      <c r="E8" s="286"/>
      <c r="F8" s="284"/>
    </row>
    <row r="9" spans="1:13" x14ac:dyDescent="0.25">
      <c r="A9" s="87">
        <v>500528</v>
      </c>
      <c r="B9" s="92"/>
      <c r="C9" s="90"/>
      <c r="D9" s="90">
        <f t="shared" si="0"/>
        <v>0</v>
      </c>
      <c r="E9" s="286"/>
      <c r="F9" s="284"/>
    </row>
    <row r="10" spans="1:13" x14ac:dyDescent="0.25">
      <c r="A10" s="87">
        <v>500529</v>
      </c>
      <c r="B10" s="90"/>
      <c r="C10" s="321"/>
      <c r="D10" s="90">
        <f t="shared" si="0"/>
        <v>0</v>
      </c>
      <c r="E10" s="286"/>
      <c r="F10" s="284"/>
    </row>
    <row r="11" spans="1:13" x14ac:dyDescent="0.25">
      <c r="A11" s="87">
        <v>500619</v>
      </c>
      <c r="B11" s="321"/>
      <c r="C11" s="90"/>
      <c r="D11" s="358">
        <f t="shared" si="0"/>
        <v>0</v>
      </c>
      <c r="E11" s="286"/>
      <c r="F11" s="284"/>
    </row>
    <row r="12" spans="1:13" x14ac:dyDescent="0.25">
      <c r="A12" s="87"/>
      <c r="B12" s="88"/>
      <c r="C12" s="88"/>
      <c r="D12" s="88">
        <f>SUM(D5:D11)</f>
        <v>-777</v>
      </c>
      <c r="E12" s="286"/>
      <c r="F12" s="284"/>
    </row>
    <row r="13" spans="1:13" x14ac:dyDescent="0.25">
      <c r="A13" s="87" t="s">
        <v>84</v>
      </c>
      <c r="B13" s="88"/>
      <c r="C13" s="88"/>
      <c r="D13" s="95">
        <f>+summary!H4</f>
        <v>2.77</v>
      </c>
      <c r="E13" s="288"/>
      <c r="F13" s="284"/>
    </row>
    <row r="14" spans="1:13" x14ac:dyDescent="0.25">
      <c r="A14" s="87"/>
      <c r="B14" s="88"/>
      <c r="C14" s="88"/>
      <c r="D14" s="96">
        <f>+D13*D12</f>
        <v>-2152.29</v>
      </c>
      <c r="E14" s="209"/>
      <c r="F14" s="285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37072</v>
      </c>
      <c r="B16" s="88"/>
      <c r="C16" s="88"/>
      <c r="D16" s="382">
        <v>-876805.42</v>
      </c>
      <c r="E16" s="209"/>
      <c r="F16" s="66"/>
    </row>
    <row r="17" spans="1:7" x14ac:dyDescent="0.25">
      <c r="A17" s="87"/>
      <c r="B17" s="88"/>
      <c r="C17" s="88"/>
      <c r="D17" s="324"/>
      <c r="E17" s="209"/>
      <c r="F17" s="66"/>
    </row>
    <row r="18" spans="1:7" ht="13.8" thickBot="1" x14ac:dyDescent="0.3">
      <c r="A18" s="99">
        <v>37090</v>
      </c>
      <c r="B18" s="88"/>
      <c r="C18" s="88"/>
      <c r="D18" s="337">
        <f>+D16+D14</f>
        <v>-878957.71000000008</v>
      </c>
      <c r="E18" s="209"/>
      <c r="F18" s="66"/>
    </row>
    <row r="19" spans="1:7" ht="13.8" thickTop="1" x14ac:dyDescent="0.25">
      <c r="E19" s="289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9" workbookViewId="3">
      <selection activeCell="D44" sqref="D44"/>
    </sheetView>
  </sheetViews>
  <sheetFormatPr defaultRowHeight="13.2" x14ac:dyDescent="0.25"/>
  <sheetData>
    <row r="3" spans="1:4" ht="13.8" x14ac:dyDescent="0.25">
      <c r="A3" s="134"/>
      <c r="B3" s="34" t="s">
        <v>149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-10000</v>
      </c>
      <c r="D6" s="25">
        <f>+C6-B6</f>
        <v>-10000</v>
      </c>
    </row>
    <row r="7" spans="1:4" x14ac:dyDescent="0.25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>
        <v>-60</v>
      </c>
      <c r="C14" s="11"/>
      <c r="D14" s="25">
        <f t="shared" si="0"/>
        <v>60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>
        <v>-157</v>
      </c>
      <c r="C18" s="11"/>
      <c r="D18" s="25">
        <f t="shared" si="0"/>
        <v>157</v>
      </c>
    </row>
    <row r="19" spans="1:4" x14ac:dyDescent="0.25">
      <c r="A19" s="10">
        <v>14</v>
      </c>
      <c r="B19" s="11">
        <v>-20214</v>
      </c>
      <c r="C19" s="11">
        <v>-17461</v>
      </c>
      <c r="D19" s="25">
        <f t="shared" si="0"/>
        <v>2753</v>
      </c>
    </row>
    <row r="20" spans="1:4" x14ac:dyDescent="0.25">
      <c r="A20" s="10">
        <v>15</v>
      </c>
      <c r="B20" s="11">
        <v>-20095</v>
      </c>
      <c r="C20" s="11">
        <v>-18047</v>
      </c>
      <c r="D20" s="25">
        <f t="shared" si="0"/>
        <v>2048</v>
      </c>
    </row>
    <row r="21" spans="1:4" x14ac:dyDescent="0.25">
      <c r="A21" s="10">
        <v>16</v>
      </c>
      <c r="B21" s="11">
        <v>-20074</v>
      </c>
      <c r="C21" s="11">
        <v>-11463</v>
      </c>
      <c r="D21" s="25">
        <f t="shared" si="0"/>
        <v>8611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-60600</v>
      </c>
      <c r="C37" s="11">
        <f>SUM(C6:C36)</f>
        <v>-66971</v>
      </c>
      <c r="D37" s="25">
        <f>SUM(D6:D36)</f>
        <v>-6371</v>
      </c>
    </row>
    <row r="38" spans="1:4" x14ac:dyDescent="0.25">
      <c r="A38" s="26"/>
      <c r="C38" s="14"/>
      <c r="D38" s="364"/>
    </row>
    <row r="39" spans="1:4" x14ac:dyDescent="0.25">
      <c r="D39" s="138"/>
    </row>
    <row r="40" spans="1:4" x14ac:dyDescent="0.25">
      <c r="A40" s="57">
        <v>37072</v>
      </c>
      <c r="C40" s="15"/>
      <c r="D40" s="372">
        <v>95102</v>
      </c>
    </row>
    <row r="41" spans="1:4" x14ac:dyDescent="0.25">
      <c r="A41" s="57">
        <v>37090</v>
      </c>
      <c r="C41" s="48"/>
      <c r="D41" s="25">
        <f>+D40+D37</f>
        <v>88731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5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5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5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5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5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5">
      <c r="A13" s="10">
        <v>7</v>
      </c>
      <c r="B13" s="129">
        <v>147182</v>
      </c>
      <c r="C13" s="11">
        <v>147214</v>
      </c>
      <c r="D13" s="25">
        <f t="shared" si="0"/>
        <v>32</v>
      </c>
    </row>
    <row r="14" spans="1:4" x14ac:dyDescent="0.25">
      <c r="A14" s="10">
        <v>8</v>
      </c>
      <c r="B14" s="11">
        <v>148253</v>
      </c>
      <c r="C14" s="11">
        <v>147214</v>
      </c>
      <c r="D14" s="25">
        <f t="shared" si="0"/>
        <v>-1039</v>
      </c>
    </row>
    <row r="15" spans="1:4" x14ac:dyDescent="0.25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5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5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5">
      <c r="A18" s="10">
        <v>12</v>
      </c>
      <c r="B18" s="11">
        <v>157058</v>
      </c>
      <c r="C18" s="11">
        <v>157014</v>
      </c>
      <c r="D18" s="25">
        <f t="shared" si="0"/>
        <v>-44</v>
      </c>
    </row>
    <row r="19" spans="1:4" x14ac:dyDescent="0.25">
      <c r="A19" s="10">
        <v>13</v>
      </c>
      <c r="B19" s="11">
        <v>157082</v>
      </c>
      <c r="C19" s="11">
        <v>157014</v>
      </c>
      <c r="D19" s="25">
        <f t="shared" si="0"/>
        <v>-68</v>
      </c>
    </row>
    <row r="20" spans="1:4" x14ac:dyDescent="0.25">
      <c r="A20" s="10">
        <v>14</v>
      </c>
      <c r="B20" s="11">
        <v>146041</v>
      </c>
      <c r="C20" s="11">
        <v>145920</v>
      </c>
      <c r="D20" s="25">
        <f t="shared" si="0"/>
        <v>-121</v>
      </c>
    </row>
    <row r="21" spans="1:4" x14ac:dyDescent="0.25">
      <c r="A21" s="10">
        <v>15</v>
      </c>
      <c r="B21" s="11">
        <v>151778</v>
      </c>
      <c r="C21" s="11">
        <v>149946</v>
      </c>
      <c r="D21" s="25">
        <f t="shared" si="0"/>
        <v>-1832</v>
      </c>
    </row>
    <row r="22" spans="1:4" x14ac:dyDescent="0.25">
      <c r="A22" s="10">
        <v>16</v>
      </c>
      <c r="B22" s="11">
        <v>144193</v>
      </c>
      <c r="C22" s="11">
        <v>142114</v>
      </c>
      <c r="D22" s="25">
        <f t="shared" si="0"/>
        <v>-2079</v>
      </c>
    </row>
    <row r="23" spans="1:4" x14ac:dyDescent="0.25">
      <c r="A23" s="10">
        <v>17</v>
      </c>
      <c r="B23" s="11">
        <v>120202</v>
      </c>
      <c r="C23" s="11">
        <v>117223</v>
      </c>
      <c r="D23" s="25">
        <f t="shared" si="0"/>
        <v>-2979</v>
      </c>
    </row>
    <row r="24" spans="1:4" x14ac:dyDescent="0.25">
      <c r="A24" s="10">
        <v>18</v>
      </c>
      <c r="B24" s="11">
        <v>111013</v>
      </c>
      <c r="C24" s="11">
        <v>109963</v>
      </c>
      <c r="D24" s="25">
        <f t="shared" si="0"/>
        <v>-1050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2644250</v>
      </c>
      <c r="C38" s="11">
        <f>SUM(C7:C37)</f>
        <v>2637021</v>
      </c>
      <c r="D38" s="11">
        <f>SUM(D7:D37)</f>
        <v>-7229</v>
      </c>
    </row>
    <row r="39" spans="1:4" x14ac:dyDescent="0.25">
      <c r="A39" s="26"/>
      <c r="C39" s="14"/>
      <c r="D39" s="106">
        <f>+summary!H3</f>
        <v>2.42</v>
      </c>
    </row>
    <row r="40" spans="1:4" x14ac:dyDescent="0.25">
      <c r="D40" s="138">
        <f>+D39*D38</f>
        <v>-17494.18</v>
      </c>
    </row>
    <row r="41" spans="1:4" x14ac:dyDescent="0.25">
      <c r="A41" s="57">
        <v>37072</v>
      </c>
      <c r="C41" s="15"/>
      <c r="D41" s="384">
        <v>0</v>
      </c>
    </row>
    <row r="42" spans="1:4" x14ac:dyDescent="0.25">
      <c r="A42" s="57">
        <v>37090</v>
      </c>
      <c r="D42" s="340">
        <f>+D41+D40</f>
        <v>-17494.18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2" workbookViewId="3">
      <selection activeCell="C23" sqref="C23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-45571</v>
      </c>
      <c r="C9" s="11"/>
      <c r="D9" s="11"/>
      <c r="E9" s="11">
        <v>-45075</v>
      </c>
      <c r="F9" s="11">
        <f t="shared" si="0"/>
        <v>496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-55972</v>
      </c>
      <c r="C11" s="11">
        <v>-40448</v>
      </c>
      <c r="D11" s="129">
        <v>-61163</v>
      </c>
      <c r="E11" s="11">
        <v>-74075</v>
      </c>
      <c r="F11" s="11">
        <f t="shared" si="0"/>
        <v>2612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-55552</v>
      </c>
      <c r="C13" s="11">
        <v>-36966</v>
      </c>
      <c r="D13" s="129">
        <v>-55738</v>
      </c>
      <c r="E13" s="11">
        <v>-72894</v>
      </c>
      <c r="F13" s="11">
        <f t="shared" si="0"/>
        <v>1430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-30306</v>
      </c>
      <c r="C16" s="11"/>
      <c r="D16" s="11"/>
      <c r="E16" s="11">
        <v>-33075</v>
      </c>
      <c r="F16" s="11">
        <f t="shared" si="0"/>
        <v>-2769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-10548</v>
      </c>
      <c r="C17" s="11"/>
      <c r="D17" s="11"/>
      <c r="E17" s="11">
        <v>-12075</v>
      </c>
      <c r="F17" s="11">
        <f t="shared" si="0"/>
        <v>-1527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-64279</v>
      </c>
      <c r="C18" s="11">
        <v>-12000</v>
      </c>
      <c r="D18" s="11"/>
      <c r="E18" s="11">
        <v>-54075</v>
      </c>
      <c r="F18" s="11">
        <f t="shared" si="0"/>
        <v>-1796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-63813</v>
      </c>
      <c r="C19" s="11">
        <v>-12000</v>
      </c>
      <c r="D19" s="11"/>
      <c r="E19" s="11">
        <v>-54075</v>
      </c>
      <c r="F19" s="11">
        <f t="shared" si="0"/>
        <v>-2262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-43798</v>
      </c>
      <c r="C20" s="11">
        <v>-12000</v>
      </c>
      <c r="D20" s="11"/>
      <c r="E20" s="11">
        <v>-34075</v>
      </c>
      <c r="F20" s="11">
        <f t="shared" si="0"/>
        <v>-2277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-47471</v>
      </c>
      <c r="C21" s="11">
        <v>-15000</v>
      </c>
      <c r="D21" s="11"/>
      <c r="E21" s="11">
        <v>-34075</v>
      </c>
      <c r="F21" s="11">
        <f t="shared" si="0"/>
        <v>-1604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-37602</v>
      </c>
      <c r="C22" s="11">
        <v>-15000</v>
      </c>
      <c r="D22" s="11"/>
      <c r="E22" s="11">
        <v>-25575</v>
      </c>
      <c r="F22" s="11">
        <f t="shared" si="0"/>
        <v>-2973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-786026</v>
      </c>
      <c r="C36" s="44">
        <f>SUM(C5:C35)</f>
        <v>-258616</v>
      </c>
      <c r="D36" s="43">
        <f>SUM(D5:D35)</f>
        <v>-180158</v>
      </c>
      <c r="E36" s="44">
        <f>SUM(E5:E35)</f>
        <v>-710094</v>
      </c>
      <c r="F36" s="11">
        <f>SUM(F5:F35)</f>
        <v>-2526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-527410</v>
      </c>
      <c r="D37" s="24"/>
      <c r="E37" s="24">
        <f>+D36-E36</f>
        <v>529936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37072</v>
      </c>
      <c r="C41" s="14"/>
      <c r="D41" s="50"/>
      <c r="E41" s="50"/>
      <c r="F41" s="380">
        <v>69314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37090</v>
      </c>
      <c r="C42" s="14"/>
      <c r="D42" s="50"/>
      <c r="E42" s="50"/>
      <c r="F42" s="51">
        <f>+F41+F36</f>
        <v>66788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B31" sqref="B31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5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5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5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5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5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5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5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5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5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5">
      <c r="A14" s="10">
        <v>11</v>
      </c>
      <c r="B14" s="11">
        <v>-125878</v>
      </c>
      <c r="C14" s="11">
        <v>-125708</v>
      </c>
      <c r="D14" s="25">
        <f t="shared" si="0"/>
        <v>170</v>
      </c>
    </row>
    <row r="15" spans="1:4" x14ac:dyDescent="0.25">
      <c r="A15" s="10">
        <v>12</v>
      </c>
      <c r="B15" s="11">
        <v>-189857</v>
      </c>
      <c r="C15" s="11">
        <v>-188547</v>
      </c>
      <c r="D15" s="25">
        <f t="shared" si="0"/>
        <v>1310</v>
      </c>
    </row>
    <row r="16" spans="1:4" x14ac:dyDescent="0.25">
      <c r="A16" s="10">
        <v>13</v>
      </c>
      <c r="B16" s="11">
        <v>-198290</v>
      </c>
      <c r="C16" s="11">
        <v>-197327</v>
      </c>
      <c r="D16" s="25">
        <f t="shared" si="0"/>
        <v>963</v>
      </c>
    </row>
    <row r="17" spans="1:4" x14ac:dyDescent="0.25">
      <c r="A17" s="10">
        <v>14</v>
      </c>
      <c r="B17" s="11">
        <v>-153610</v>
      </c>
      <c r="C17" s="11">
        <v>-151765</v>
      </c>
      <c r="D17" s="25">
        <f t="shared" si="0"/>
        <v>1845</v>
      </c>
    </row>
    <row r="18" spans="1:4" x14ac:dyDescent="0.25">
      <c r="A18" s="10">
        <v>15</v>
      </c>
      <c r="B18" s="11">
        <v>-112556</v>
      </c>
      <c r="C18" s="11">
        <v>-111957</v>
      </c>
      <c r="D18" s="25">
        <f t="shared" si="0"/>
        <v>599</v>
      </c>
    </row>
    <row r="19" spans="1:4" x14ac:dyDescent="0.25">
      <c r="A19" s="10">
        <v>16</v>
      </c>
      <c r="B19" s="11">
        <v>-112398</v>
      </c>
      <c r="C19" s="11">
        <v>-111233</v>
      </c>
      <c r="D19" s="25">
        <f t="shared" si="0"/>
        <v>1165</v>
      </c>
    </row>
    <row r="20" spans="1:4" x14ac:dyDescent="0.25">
      <c r="A20" s="10">
        <v>17</v>
      </c>
      <c r="B20" s="11">
        <v>-177636</v>
      </c>
      <c r="C20" s="11">
        <v>-177011</v>
      </c>
      <c r="D20" s="25">
        <f t="shared" si="0"/>
        <v>625</v>
      </c>
    </row>
    <row r="21" spans="1:4" x14ac:dyDescent="0.25">
      <c r="A21" s="10">
        <v>18</v>
      </c>
      <c r="B21" s="11">
        <v>-195965</v>
      </c>
      <c r="C21" s="11">
        <v>-195469</v>
      </c>
      <c r="D21" s="25">
        <f t="shared" si="0"/>
        <v>496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-2707219</v>
      </c>
      <c r="C35" s="11">
        <f>SUM(C4:C34)</f>
        <v>-2693489</v>
      </c>
      <c r="D35" s="11">
        <f>SUM(D4:D34)</f>
        <v>13730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37072</v>
      </c>
      <c r="D38" s="380">
        <v>-12760</v>
      </c>
    </row>
    <row r="39" spans="1:30" x14ac:dyDescent="0.25">
      <c r="A39" s="12"/>
      <c r="D39" s="24"/>
    </row>
    <row r="40" spans="1:30" x14ac:dyDescent="0.25">
      <c r="A40" s="250">
        <v>37090</v>
      </c>
      <c r="D40" s="24">
        <f>+D38+D35</f>
        <v>970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A41" sqref="A4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5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5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5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5">
      <c r="A8" s="10">
        <v>5</v>
      </c>
      <c r="B8" s="129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5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5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5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5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5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5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5">
      <c r="A15" s="10">
        <v>12</v>
      </c>
      <c r="B15" s="11">
        <v>-777542</v>
      </c>
      <c r="C15" s="11">
        <v>-764250</v>
      </c>
      <c r="D15" s="11">
        <v>-111</v>
      </c>
      <c r="E15" s="11"/>
      <c r="F15" s="25">
        <f t="shared" si="0"/>
        <v>13403</v>
      </c>
      <c r="H15" s="10"/>
      <c r="I15" s="11"/>
    </row>
    <row r="16" spans="1:11" x14ac:dyDescent="0.25">
      <c r="A16" s="10">
        <v>13</v>
      </c>
      <c r="B16" s="11">
        <v>-778404</v>
      </c>
      <c r="C16" s="11">
        <v>-779176</v>
      </c>
      <c r="D16" s="11">
        <v>-1279</v>
      </c>
      <c r="E16" s="11"/>
      <c r="F16" s="25">
        <f t="shared" si="0"/>
        <v>507</v>
      </c>
      <c r="H16" s="10"/>
      <c r="I16" s="11"/>
      <c r="K16" s="25"/>
    </row>
    <row r="17" spans="1:11" x14ac:dyDescent="0.25">
      <c r="A17" s="10">
        <v>14</v>
      </c>
      <c r="B17" s="11">
        <v>-710800</v>
      </c>
      <c r="C17" s="11">
        <v>-709330</v>
      </c>
      <c r="D17" s="11">
        <v>-58</v>
      </c>
      <c r="E17" s="11"/>
      <c r="F17" s="25">
        <f t="shared" si="0"/>
        <v>1528</v>
      </c>
      <c r="H17" s="10"/>
      <c r="I17" s="11"/>
    </row>
    <row r="18" spans="1:11" x14ac:dyDescent="0.25">
      <c r="A18" s="10">
        <v>15</v>
      </c>
      <c r="B18" s="11">
        <v>-552319</v>
      </c>
      <c r="C18" s="11">
        <v>-553244</v>
      </c>
      <c r="D18" s="11">
        <v>-52588</v>
      </c>
      <c r="E18" s="11">
        <v>-50000</v>
      </c>
      <c r="F18" s="25">
        <f t="shared" si="0"/>
        <v>1663</v>
      </c>
      <c r="H18" s="10"/>
      <c r="I18" s="11"/>
    </row>
    <row r="19" spans="1:11" x14ac:dyDescent="0.25">
      <c r="A19" s="10">
        <v>16</v>
      </c>
      <c r="B19" s="11">
        <v>-752609</v>
      </c>
      <c r="C19" s="11">
        <v>-753928</v>
      </c>
      <c r="D19" s="11">
        <v>-26678</v>
      </c>
      <c r="E19" s="11">
        <v>-25000</v>
      </c>
      <c r="F19" s="25">
        <f t="shared" si="0"/>
        <v>359</v>
      </c>
      <c r="H19" s="10"/>
      <c r="I19" s="11"/>
    </row>
    <row r="20" spans="1:11" x14ac:dyDescent="0.25">
      <c r="A20" s="10">
        <v>17</v>
      </c>
      <c r="B20" s="11">
        <v>-761603</v>
      </c>
      <c r="C20" s="11">
        <v>-778188</v>
      </c>
      <c r="D20" s="11">
        <v>-24993</v>
      </c>
      <c r="E20" s="11">
        <v>-25000</v>
      </c>
      <c r="F20" s="25">
        <f t="shared" si="0"/>
        <v>-16592</v>
      </c>
      <c r="H20" s="10"/>
      <c r="I20" s="11"/>
    </row>
    <row r="21" spans="1:11" x14ac:dyDescent="0.25">
      <c r="A21" s="10">
        <v>18</v>
      </c>
      <c r="B21" s="11">
        <v>-773280</v>
      </c>
      <c r="C21" s="11">
        <v>-773404</v>
      </c>
      <c r="D21" s="11">
        <v>-329</v>
      </c>
      <c r="E21" s="11"/>
      <c r="F21" s="25">
        <f t="shared" si="0"/>
        <v>205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-13833847</v>
      </c>
      <c r="C35" s="11">
        <f>SUM(C4:C34)</f>
        <v>-13797705</v>
      </c>
      <c r="D35" s="11">
        <f>SUM(D4:D34)</f>
        <v>-341708</v>
      </c>
      <c r="E35" s="11">
        <f>SUM(E4:E34)</f>
        <v>-330000</v>
      </c>
      <c r="F35" s="11">
        <f>SUM(F4:F34)</f>
        <v>47850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37072</v>
      </c>
      <c r="F38" s="376">
        <v>123192</v>
      </c>
    </row>
    <row r="39" spans="1:45" x14ac:dyDescent="0.25">
      <c r="A39" s="2"/>
      <c r="F39" s="24"/>
    </row>
    <row r="40" spans="1:45" x14ac:dyDescent="0.25">
      <c r="A40" s="57">
        <v>37090</v>
      </c>
      <c r="F40" s="51">
        <f>+F38+F35</f>
        <v>171042</v>
      </c>
    </row>
    <row r="42" spans="1:45" x14ac:dyDescent="0.25">
      <c r="AF42" s="309"/>
      <c r="AG42" s="309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  <c r="AS42" s="309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0"/>
      <c r="AG43" s="309"/>
      <c r="AH43" s="309"/>
      <c r="AI43" s="311"/>
      <c r="AJ43" s="310"/>
      <c r="AK43" s="309"/>
      <c r="AL43" s="309"/>
      <c r="AM43" s="311"/>
      <c r="AN43" s="310"/>
      <c r="AO43" s="309"/>
      <c r="AP43" s="309"/>
      <c r="AQ43" s="309"/>
      <c r="AR43" s="309"/>
      <c r="AS43" s="309"/>
    </row>
    <row r="44" spans="1:45" x14ac:dyDescent="0.25">
      <c r="K44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</row>
    <row r="45" spans="1:45" x14ac:dyDescent="0.25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2"/>
      <c r="AG45" s="312"/>
      <c r="AH45" s="309"/>
      <c r="AI45" s="313"/>
      <c r="AJ45" s="312"/>
      <c r="AK45" s="312"/>
      <c r="AL45" s="309"/>
      <c r="AM45" s="313"/>
      <c r="AN45" s="312"/>
      <c r="AO45" s="312"/>
      <c r="AP45" s="309"/>
      <c r="AQ45" s="309"/>
      <c r="AR45" s="309"/>
      <c r="AS45" s="309"/>
    </row>
    <row r="46" spans="1:45" x14ac:dyDescent="0.25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4"/>
      <c r="AG46" s="314"/>
      <c r="AH46" s="315"/>
      <c r="AI46" s="316"/>
      <c r="AJ46" s="314"/>
      <c r="AK46" s="314"/>
      <c r="AL46" s="315"/>
      <c r="AM46" s="316"/>
      <c r="AN46" s="314"/>
      <c r="AO46" s="314"/>
      <c r="AP46" s="315"/>
      <c r="AQ46" s="309"/>
      <c r="AR46" s="309"/>
      <c r="AS46" s="309"/>
    </row>
    <row r="47" spans="1:45" x14ac:dyDescent="0.25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4"/>
      <c r="AG47" s="314"/>
      <c r="AH47" s="315"/>
      <c r="AI47" s="316"/>
      <c r="AJ47" s="314"/>
      <c r="AK47" s="314"/>
      <c r="AL47" s="315"/>
      <c r="AM47" s="316"/>
      <c r="AN47" s="314"/>
      <c r="AO47" s="314"/>
      <c r="AP47" s="315"/>
      <c r="AQ47" s="309"/>
      <c r="AR47" s="309"/>
      <c r="AS47" s="309"/>
    </row>
    <row r="48" spans="1:45" x14ac:dyDescent="0.25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4"/>
      <c r="AG48" s="314"/>
      <c r="AH48" s="315"/>
      <c r="AI48" s="316"/>
      <c r="AJ48" s="314"/>
      <c r="AK48" s="314"/>
      <c r="AL48" s="315"/>
      <c r="AM48" s="316"/>
      <c r="AN48" s="314"/>
      <c r="AO48" s="314"/>
      <c r="AP48" s="315"/>
      <c r="AQ48" s="309"/>
      <c r="AR48" s="309"/>
      <c r="AS48" s="309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4"/>
      <c r="AG49" s="314"/>
      <c r="AH49" s="315"/>
      <c r="AI49" s="316"/>
      <c r="AJ49" s="314"/>
      <c r="AK49" s="314"/>
      <c r="AL49" s="315"/>
      <c r="AM49" s="316"/>
      <c r="AN49" s="314"/>
      <c r="AO49" s="314"/>
      <c r="AP49" s="315"/>
      <c r="AQ49" s="309"/>
      <c r="AR49" s="309"/>
      <c r="AS49" s="309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4"/>
      <c r="AG50" s="314"/>
      <c r="AH50" s="315"/>
      <c r="AI50" s="316"/>
      <c r="AJ50" s="314"/>
      <c r="AK50" s="314"/>
      <c r="AL50" s="315"/>
      <c r="AM50" s="316"/>
      <c r="AN50" s="314"/>
      <c r="AO50" s="314"/>
      <c r="AP50" s="315"/>
      <c r="AQ50" s="309"/>
      <c r="AR50" s="309"/>
      <c r="AS50" s="309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4"/>
      <c r="AG51" s="314"/>
      <c r="AH51" s="315"/>
      <c r="AI51" s="316"/>
      <c r="AJ51" s="314"/>
      <c r="AK51" s="314"/>
      <c r="AL51" s="315"/>
      <c r="AM51" s="316"/>
      <c r="AN51" s="314"/>
      <c r="AO51" s="314"/>
      <c r="AP51" s="315"/>
      <c r="AQ51" s="309"/>
      <c r="AR51" s="309"/>
      <c r="AS51" s="309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4"/>
      <c r="AG52" s="314"/>
      <c r="AH52" s="315"/>
      <c r="AI52" s="316"/>
      <c r="AJ52" s="314"/>
      <c r="AK52" s="314"/>
      <c r="AL52" s="315"/>
      <c r="AM52" s="316"/>
      <c r="AN52" s="314"/>
      <c r="AO52" s="314"/>
      <c r="AP52" s="315"/>
      <c r="AQ52" s="309"/>
      <c r="AR52" s="309"/>
      <c r="AS52" s="309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4"/>
      <c r="AG53" s="314"/>
      <c r="AH53" s="315"/>
      <c r="AI53" s="316"/>
      <c r="AJ53" s="314"/>
      <c r="AK53" s="314"/>
      <c r="AL53" s="315"/>
      <c r="AM53" s="316"/>
      <c r="AN53" s="314"/>
      <c r="AO53" s="314"/>
      <c r="AP53" s="315"/>
      <c r="AQ53" s="309"/>
      <c r="AR53" s="309"/>
      <c r="AS53" s="309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4"/>
      <c r="AG54" s="314"/>
      <c r="AH54" s="315"/>
      <c r="AI54" s="316"/>
      <c r="AJ54" s="314"/>
      <c r="AK54" s="314"/>
      <c r="AL54" s="315"/>
      <c r="AM54" s="316"/>
      <c r="AN54" s="314"/>
      <c r="AO54" s="314"/>
      <c r="AP54" s="315"/>
      <c r="AQ54" s="309"/>
      <c r="AR54" s="309"/>
      <c r="AS54" s="309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4"/>
      <c r="AG55" s="314"/>
      <c r="AH55" s="315"/>
      <c r="AI55" s="316"/>
      <c r="AJ55" s="314"/>
      <c r="AK55" s="314"/>
      <c r="AL55" s="315"/>
      <c r="AM55" s="316"/>
      <c r="AN55" s="314"/>
      <c r="AO55" s="314"/>
      <c r="AP55" s="315"/>
      <c r="AQ55" s="309"/>
      <c r="AR55" s="309"/>
      <c r="AS55" s="309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4"/>
      <c r="AG56" s="314"/>
      <c r="AH56" s="315"/>
      <c r="AI56" s="316"/>
      <c r="AJ56" s="314"/>
      <c r="AK56" s="314"/>
      <c r="AL56" s="315"/>
      <c r="AM56" s="316"/>
      <c r="AN56" s="314"/>
      <c r="AO56" s="314"/>
      <c r="AP56" s="315"/>
      <c r="AQ56" s="309"/>
      <c r="AR56" s="309"/>
      <c r="AS56" s="309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4"/>
      <c r="AG57" s="314"/>
      <c r="AH57" s="315"/>
      <c r="AI57" s="316"/>
      <c r="AJ57" s="314"/>
      <c r="AK57" s="314"/>
      <c r="AL57" s="315"/>
      <c r="AM57" s="316"/>
      <c r="AN57" s="314"/>
      <c r="AO57" s="314"/>
      <c r="AP57" s="315"/>
      <c r="AQ57" s="309"/>
      <c r="AR57" s="309"/>
      <c r="AS57" s="309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4"/>
      <c r="AG58" s="314"/>
      <c r="AH58" s="315"/>
      <c r="AI58" s="316"/>
      <c r="AJ58" s="314"/>
      <c r="AK58" s="314"/>
      <c r="AL58" s="315"/>
      <c r="AM58" s="316"/>
      <c r="AN58" s="314"/>
      <c r="AO58" s="314"/>
      <c r="AP58" s="315"/>
      <c r="AQ58" s="309"/>
      <c r="AR58" s="309"/>
      <c r="AS58" s="309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4"/>
      <c r="AG59" s="314"/>
      <c r="AH59" s="315"/>
      <c r="AI59" s="316"/>
      <c r="AJ59" s="314"/>
      <c r="AK59" s="314"/>
      <c r="AL59" s="315"/>
      <c r="AM59" s="316"/>
      <c r="AN59" s="314"/>
      <c r="AO59" s="314"/>
      <c r="AP59" s="315"/>
      <c r="AQ59" s="309"/>
      <c r="AR59" s="309"/>
      <c r="AS59" s="309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4"/>
      <c r="AG60" s="314"/>
      <c r="AH60" s="315"/>
      <c r="AI60" s="316"/>
      <c r="AJ60" s="314"/>
      <c r="AK60" s="314"/>
      <c r="AL60" s="315"/>
      <c r="AM60" s="316"/>
      <c r="AN60" s="314"/>
      <c r="AO60" s="314"/>
      <c r="AP60" s="315"/>
      <c r="AQ60" s="309"/>
      <c r="AR60" s="309"/>
      <c r="AS60" s="309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4"/>
      <c r="AG61" s="314"/>
      <c r="AH61" s="315"/>
      <c r="AI61" s="316"/>
      <c r="AJ61" s="314"/>
      <c r="AK61" s="314"/>
      <c r="AL61" s="315"/>
      <c r="AM61" s="316"/>
      <c r="AN61" s="314"/>
      <c r="AO61" s="314"/>
      <c r="AP61" s="315"/>
      <c r="AQ61" s="309"/>
      <c r="AR61" s="309"/>
      <c r="AS61" s="309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4"/>
      <c r="AG62" s="314"/>
      <c r="AH62" s="315"/>
      <c r="AI62" s="316"/>
      <c r="AJ62" s="314"/>
      <c r="AK62" s="314"/>
      <c r="AL62" s="315"/>
      <c r="AM62" s="316"/>
      <c r="AN62" s="314"/>
      <c r="AO62" s="314"/>
      <c r="AP62" s="315"/>
      <c r="AQ62" s="309"/>
      <c r="AR62" s="309"/>
      <c r="AS62" s="309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4"/>
      <c r="AG63" s="314"/>
      <c r="AH63" s="315"/>
      <c r="AI63" s="316"/>
      <c r="AJ63" s="314"/>
      <c r="AK63" s="314"/>
      <c r="AL63" s="315"/>
      <c r="AM63" s="316"/>
      <c r="AN63" s="314"/>
      <c r="AO63" s="314"/>
      <c r="AP63" s="315"/>
      <c r="AQ63" s="309"/>
      <c r="AR63" s="309"/>
      <c r="AS63" s="309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4"/>
      <c r="AG64" s="314"/>
      <c r="AH64" s="315"/>
      <c r="AI64" s="316"/>
      <c r="AJ64" s="314"/>
      <c r="AK64" s="314"/>
      <c r="AL64" s="315"/>
      <c r="AM64" s="316"/>
      <c r="AN64" s="314"/>
      <c r="AO64" s="314"/>
      <c r="AP64" s="315"/>
      <c r="AQ64" s="309"/>
      <c r="AR64" s="309"/>
      <c r="AS64" s="309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4"/>
      <c r="AG65" s="314"/>
      <c r="AH65" s="315"/>
      <c r="AI65" s="316"/>
      <c r="AJ65" s="314"/>
      <c r="AK65" s="314"/>
      <c r="AL65" s="315"/>
      <c r="AM65" s="316"/>
      <c r="AN65" s="314"/>
      <c r="AO65" s="314"/>
      <c r="AP65" s="315"/>
      <c r="AQ65" s="309"/>
      <c r="AR65" s="309"/>
      <c r="AS65" s="309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4"/>
      <c r="AG66" s="314"/>
      <c r="AH66" s="315"/>
      <c r="AI66" s="316"/>
      <c r="AJ66" s="314"/>
      <c r="AK66" s="314"/>
      <c r="AL66" s="315"/>
      <c r="AM66" s="316"/>
      <c r="AN66" s="314"/>
      <c r="AO66" s="314"/>
      <c r="AP66" s="315"/>
      <c r="AQ66" s="309"/>
      <c r="AR66" s="309"/>
      <c r="AS66" s="309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4"/>
      <c r="AG67" s="314"/>
      <c r="AH67" s="315"/>
      <c r="AI67" s="316"/>
      <c r="AJ67" s="314"/>
      <c r="AK67" s="314"/>
      <c r="AL67" s="315"/>
      <c r="AM67" s="316"/>
      <c r="AN67" s="314"/>
      <c r="AO67" s="314"/>
      <c r="AP67" s="315"/>
      <c r="AQ67" s="309"/>
      <c r="AR67" s="309"/>
      <c r="AS67" s="309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4"/>
      <c r="AG68" s="314"/>
      <c r="AH68" s="315"/>
      <c r="AI68" s="316"/>
      <c r="AJ68" s="314"/>
      <c r="AK68" s="314"/>
      <c r="AL68" s="315"/>
      <c r="AM68" s="316"/>
      <c r="AN68" s="314"/>
      <c r="AO68" s="314"/>
      <c r="AP68" s="315"/>
      <c r="AQ68" s="309"/>
      <c r="AR68" s="309"/>
      <c r="AS68" s="309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4"/>
      <c r="AG69" s="314"/>
      <c r="AH69" s="315"/>
      <c r="AI69" s="316"/>
      <c r="AJ69" s="314"/>
      <c r="AK69" s="314"/>
      <c r="AL69" s="315"/>
      <c r="AM69" s="316"/>
      <c r="AN69" s="314"/>
      <c r="AO69" s="314"/>
      <c r="AP69" s="315"/>
      <c r="AQ69" s="309"/>
      <c r="AR69" s="309"/>
      <c r="AS69" s="309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4"/>
      <c r="AG70" s="314"/>
      <c r="AH70" s="315"/>
      <c r="AI70" s="316"/>
      <c r="AJ70" s="314"/>
      <c r="AK70" s="314"/>
      <c r="AL70" s="315"/>
      <c r="AM70" s="316"/>
      <c r="AN70" s="314"/>
      <c r="AO70" s="314"/>
      <c r="AP70" s="315"/>
      <c r="AQ70" s="309"/>
      <c r="AR70" s="309"/>
      <c r="AS70" s="309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4"/>
      <c r="AG71" s="314"/>
      <c r="AH71" s="315"/>
      <c r="AI71" s="316"/>
      <c r="AJ71" s="314"/>
      <c r="AK71" s="314"/>
      <c r="AL71" s="315"/>
      <c r="AM71" s="316"/>
      <c r="AN71" s="314"/>
      <c r="AO71" s="314"/>
      <c r="AP71" s="315"/>
      <c r="AQ71" s="309"/>
      <c r="AR71" s="309"/>
      <c r="AS71" s="309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4"/>
      <c r="AG72" s="314"/>
      <c r="AH72" s="315"/>
      <c r="AI72" s="316"/>
      <c r="AJ72" s="314"/>
      <c r="AK72" s="314"/>
      <c r="AL72" s="315"/>
      <c r="AM72" s="316"/>
      <c r="AN72" s="314"/>
      <c r="AO72" s="314"/>
      <c r="AP72" s="315"/>
      <c r="AQ72" s="309"/>
      <c r="AR72" s="309"/>
      <c r="AS72" s="309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4"/>
      <c r="AG73" s="314"/>
      <c r="AH73" s="315"/>
      <c r="AI73" s="316"/>
      <c r="AJ73" s="314"/>
      <c r="AK73" s="314"/>
      <c r="AL73" s="315"/>
      <c r="AM73" s="316"/>
      <c r="AN73" s="314"/>
      <c r="AO73" s="314"/>
      <c r="AP73" s="315"/>
      <c r="AQ73" s="309"/>
      <c r="AR73" s="309"/>
      <c r="AS73" s="309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4"/>
      <c r="AG74" s="314"/>
      <c r="AH74" s="315"/>
      <c r="AI74" s="316"/>
      <c r="AJ74" s="314"/>
      <c r="AK74" s="314"/>
      <c r="AL74" s="315"/>
      <c r="AM74" s="316"/>
      <c r="AN74" s="314"/>
      <c r="AO74" s="314"/>
      <c r="AP74" s="315"/>
      <c r="AQ74" s="309"/>
      <c r="AR74" s="309"/>
      <c r="AS74" s="309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4"/>
      <c r="AG75" s="314"/>
      <c r="AH75" s="315"/>
      <c r="AI75" s="316"/>
      <c r="AJ75" s="314"/>
      <c r="AK75" s="314"/>
      <c r="AL75" s="315"/>
      <c r="AM75" s="316"/>
      <c r="AN75" s="314"/>
      <c r="AO75" s="314"/>
      <c r="AP75" s="315"/>
      <c r="AQ75" s="309"/>
      <c r="AR75" s="309"/>
      <c r="AS75" s="309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4"/>
      <c r="AG76" s="314"/>
      <c r="AH76" s="315"/>
      <c r="AI76" s="316"/>
      <c r="AJ76" s="314"/>
      <c r="AK76" s="314"/>
      <c r="AL76" s="315"/>
      <c r="AM76" s="316"/>
      <c r="AN76" s="314"/>
      <c r="AO76" s="314"/>
      <c r="AP76" s="315"/>
      <c r="AQ76" s="309"/>
      <c r="AR76" s="309"/>
      <c r="AS76" s="309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4"/>
      <c r="AG77" s="314"/>
      <c r="AH77" s="314"/>
      <c r="AI77" s="316"/>
      <c r="AJ77" s="314"/>
      <c r="AK77" s="314"/>
      <c r="AL77" s="314"/>
      <c r="AM77" s="316"/>
      <c r="AN77" s="314"/>
      <c r="AO77" s="314"/>
      <c r="AP77" s="314"/>
      <c r="AQ77" s="309"/>
      <c r="AR77" s="309"/>
      <c r="AS77" s="309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9"/>
      <c r="AG78" s="315"/>
      <c r="AH78" s="317"/>
      <c r="AI78" s="318"/>
      <c r="AJ78" s="309"/>
      <c r="AK78" s="315"/>
      <c r="AL78" s="317"/>
      <c r="AM78" s="318"/>
      <c r="AN78" s="309"/>
      <c r="AO78" s="315"/>
      <c r="AP78" s="317"/>
      <c r="AQ78" s="309"/>
      <c r="AR78" s="309"/>
      <c r="AS78" s="309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9"/>
      <c r="AG79" s="309"/>
      <c r="AH79" s="319"/>
      <c r="AI79" s="309"/>
      <c r="AJ79" s="309"/>
      <c r="AK79" s="309"/>
      <c r="AL79" s="319"/>
      <c r="AM79" s="309"/>
      <c r="AN79" s="309"/>
      <c r="AO79" s="309"/>
      <c r="AP79" s="319"/>
      <c r="AQ79" s="309"/>
      <c r="AR79" s="309"/>
      <c r="AS79" s="309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9"/>
      <c r="AG80" s="309"/>
      <c r="AH80" s="319"/>
      <c r="AI80" s="320"/>
      <c r="AJ80" s="309"/>
      <c r="AK80" s="309"/>
      <c r="AL80" s="319"/>
      <c r="AM80" s="320"/>
      <c r="AN80" s="309"/>
      <c r="AO80" s="309"/>
      <c r="AP80" s="319"/>
      <c r="AQ80" s="309"/>
      <c r="AR80" s="309"/>
      <c r="AS80" s="309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9"/>
      <c r="AG81" s="309"/>
      <c r="AH81" s="319"/>
      <c r="AI81" s="317"/>
      <c r="AJ81" s="309"/>
      <c r="AK81" s="309"/>
      <c r="AL81" s="319"/>
      <c r="AM81" s="317"/>
      <c r="AN81" s="309"/>
      <c r="AO81" s="309"/>
      <c r="AP81" s="319"/>
      <c r="AQ81" s="309"/>
      <c r="AR81" s="309"/>
      <c r="AS81" s="309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9"/>
      <c r="AG82" s="309"/>
      <c r="AH82" s="319"/>
      <c r="AI82" s="320"/>
      <c r="AJ82" s="309"/>
      <c r="AK82" s="309"/>
      <c r="AL82" s="319"/>
      <c r="AM82" s="320"/>
      <c r="AN82" s="309"/>
      <c r="AO82" s="309"/>
      <c r="AP82" s="319"/>
      <c r="AQ82" s="309"/>
      <c r="AR82" s="309"/>
      <c r="AS82" s="309"/>
    </row>
    <row r="83" spans="4:45" x14ac:dyDescent="0.25">
      <c r="AE83" s="32"/>
      <c r="AF83" s="309"/>
      <c r="AG83" s="309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</row>
    <row r="84" spans="4:45" x14ac:dyDescent="0.25">
      <c r="AE84" s="32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Q84" s="309"/>
      <c r="AR84" s="309"/>
      <c r="AS84" s="309"/>
    </row>
    <row r="85" spans="4:45" x14ac:dyDescent="0.25">
      <c r="AF85" s="309"/>
      <c r="AG85" s="309"/>
      <c r="AH85" s="309"/>
      <c r="AI85" s="309"/>
      <c r="AJ85" s="309"/>
      <c r="AK85" s="309"/>
      <c r="AL85" s="309"/>
      <c r="AM85" s="309"/>
      <c r="AN85" s="309"/>
      <c r="AO85" s="309"/>
      <c r="AP85" s="309"/>
      <c r="AQ85" s="309"/>
      <c r="AR85" s="309"/>
      <c r="AS85" s="309"/>
    </row>
    <row r="86" spans="4:45" x14ac:dyDescent="0.25"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</row>
    <row r="87" spans="4:45" x14ac:dyDescent="0.25">
      <c r="AF87" s="309"/>
      <c r="AG87" s="309"/>
      <c r="AH87" s="309"/>
      <c r="AI87" s="309"/>
      <c r="AJ87" s="309"/>
      <c r="AK87" s="309"/>
      <c r="AL87" s="309"/>
      <c r="AM87" s="309"/>
      <c r="AN87" s="309"/>
      <c r="AO87" s="309"/>
      <c r="AP87" s="309"/>
      <c r="AQ87" s="309"/>
      <c r="AR87" s="309"/>
      <c r="AS87" s="309"/>
    </row>
    <row r="88" spans="4:45" x14ac:dyDescent="0.25"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309"/>
      <c r="AR88" s="309"/>
      <c r="AS88" s="309"/>
    </row>
    <row r="89" spans="4:45" x14ac:dyDescent="0.25">
      <c r="AF89" s="309"/>
      <c r="AG89" s="309"/>
      <c r="AH89" s="309"/>
      <c r="AI89" s="309"/>
      <c r="AJ89" s="309"/>
      <c r="AK89" s="309"/>
      <c r="AL89" s="309"/>
      <c r="AM89" s="309"/>
      <c r="AN89" s="309"/>
      <c r="AO89" s="309"/>
      <c r="AP89" s="309"/>
      <c r="AQ89" s="309"/>
      <c r="AR89" s="309"/>
      <c r="AS89" s="309"/>
    </row>
    <row r="90" spans="4:45" x14ac:dyDescent="0.25"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</row>
    <row r="91" spans="4:45" x14ac:dyDescent="0.25">
      <c r="AF91" s="309"/>
      <c r="AG91" s="309"/>
      <c r="AH91" s="309"/>
      <c r="AI91" s="309"/>
      <c r="AJ91" s="309"/>
      <c r="AK91" s="309"/>
      <c r="AL91" s="309"/>
      <c r="AM91" s="309"/>
      <c r="AN91" s="309"/>
      <c r="AO91" s="309"/>
      <c r="AP91" s="309"/>
      <c r="AQ91" s="309"/>
      <c r="AR91" s="309"/>
      <c r="AS91" s="309"/>
    </row>
    <row r="92" spans="4:45" x14ac:dyDescent="0.25"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</row>
    <row r="93" spans="4:45" x14ac:dyDescent="0.25">
      <c r="AF93" s="309"/>
      <c r="AG93" s="309"/>
      <c r="AH93" s="309"/>
      <c r="AI93" s="309"/>
      <c r="AJ93" s="309"/>
      <c r="AK93" s="309"/>
      <c r="AL93" s="309"/>
      <c r="AM93" s="309"/>
      <c r="AN93" s="309"/>
      <c r="AO93" s="309"/>
      <c r="AP93" s="309"/>
      <c r="AQ93" s="309"/>
      <c r="AR93" s="309"/>
      <c r="AS93" s="309"/>
    </row>
    <row r="94" spans="4:45" x14ac:dyDescent="0.25"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</row>
    <row r="95" spans="4:45" x14ac:dyDescent="0.25"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</row>
    <row r="96" spans="4:45" x14ac:dyDescent="0.25"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</row>
    <row r="97" spans="32:45" x14ac:dyDescent="0.25"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09"/>
      <c r="AR97" s="309"/>
      <c r="AS97" s="309"/>
    </row>
    <row r="98" spans="32:45" x14ac:dyDescent="0.25"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09"/>
      <c r="AR98" s="309"/>
      <c r="AS98" s="309"/>
    </row>
    <row r="99" spans="32:45" x14ac:dyDescent="0.25">
      <c r="AF99" s="309"/>
      <c r="AG99" s="309"/>
      <c r="AH99" s="309"/>
      <c r="AI99" s="309"/>
      <c r="AJ99" s="309"/>
      <c r="AK99" s="309"/>
      <c r="AL99" s="309"/>
      <c r="AM99" s="309"/>
      <c r="AN99" s="309"/>
      <c r="AO99" s="309"/>
      <c r="AP99" s="309"/>
      <c r="AQ99" s="309"/>
      <c r="AR99" s="309"/>
      <c r="AS99" s="309"/>
    </row>
    <row r="100" spans="32:45" x14ac:dyDescent="0.25"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</row>
    <row r="101" spans="32:45" x14ac:dyDescent="0.25">
      <c r="AF101" s="309"/>
      <c r="AG101" s="309"/>
      <c r="AH101" s="309"/>
      <c r="AI101" s="309"/>
      <c r="AJ101" s="309"/>
      <c r="AK101" s="309"/>
      <c r="AL101" s="309"/>
      <c r="AM101" s="309"/>
      <c r="AN101" s="309"/>
      <c r="AO101" s="309"/>
      <c r="AP101" s="309"/>
      <c r="AQ101" s="309"/>
      <c r="AR101" s="309"/>
      <c r="AS101" s="309"/>
    </row>
    <row r="102" spans="32:45" x14ac:dyDescent="0.25"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09"/>
      <c r="AS102" s="309"/>
    </row>
    <row r="103" spans="32:45" x14ac:dyDescent="0.25">
      <c r="AF103" s="309"/>
      <c r="AG103" s="309"/>
      <c r="AH103" s="309"/>
      <c r="AI103" s="309"/>
      <c r="AJ103" s="309"/>
      <c r="AK103" s="309"/>
      <c r="AL103" s="309"/>
      <c r="AM103" s="309"/>
      <c r="AN103" s="309"/>
      <c r="AO103" s="309"/>
      <c r="AP103" s="309"/>
      <c r="AQ103" s="309"/>
      <c r="AR103" s="309"/>
      <c r="AS103" s="309"/>
    </row>
    <row r="104" spans="32:45" x14ac:dyDescent="0.25"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  <c r="AP104" s="309"/>
      <c r="AQ104" s="309"/>
      <c r="AR104" s="309"/>
      <c r="AS104" s="309"/>
    </row>
    <row r="105" spans="32:45" x14ac:dyDescent="0.25">
      <c r="AF105" s="309"/>
      <c r="AG105" s="309"/>
      <c r="AH105" s="309"/>
      <c r="AI105" s="309"/>
      <c r="AJ105" s="309"/>
      <c r="AK105" s="309"/>
      <c r="AL105" s="309"/>
      <c r="AM105" s="309"/>
      <c r="AN105" s="309"/>
      <c r="AO105" s="309"/>
      <c r="AP105" s="309"/>
      <c r="AQ105" s="309"/>
      <c r="AR105" s="309"/>
      <c r="AS105" s="30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E49" sqref="E49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-116601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-2497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-143465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-1805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-119552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-734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-73406</v>
      </c>
      <c r="C13" s="11">
        <v>-36039</v>
      </c>
      <c r="D13" s="11"/>
      <c r="E13" s="11">
        <v>-36904</v>
      </c>
      <c r="F13" s="11"/>
      <c r="G13" s="11"/>
      <c r="H13" s="11">
        <f t="shared" si="0"/>
        <v>-463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-123596</v>
      </c>
      <c r="C14" s="11">
        <v>-89549</v>
      </c>
      <c r="D14" s="11">
        <v>-36670</v>
      </c>
      <c r="E14" s="11">
        <v>-70925</v>
      </c>
      <c r="F14" s="11"/>
      <c r="G14" s="11"/>
      <c r="H14" s="11">
        <f t="shared" si="0"/>
        <v>208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-150791</v>
      </c>
      <c r="C15" s="11">
        <v>-126417</v>
      </c>
      <c r="D15" s="11">
        <v>-52283</v>
      </c>
      <c r="E15" s="11">
        <v>-76898</v>
      </c>
      <c r="F15" s="11"/>
      <c r="G15" s="11"/>
      <c r="H15" s="11">
        <f t="shared" si="0"/>
        <v>241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-147110</v>
      </c>
      <c r="C16" s="11">
        <v>-90759</v>
      </c>
      <c r="D16" s="11">
        <v>-44291</v>
      </c>
      <c r="E16" s="11">
        <v>-99922</v>
      </c>
      <c r="F16" s="11"/>
      <c r="G16" s="11"/>
      <c r="H16" s="11">
        <f t="shared" si="0"/>
        <v>-720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-113980</v>
      </c>
      <c r="C17" s="11">
        <v>-66719</v>
      </c>
      <c r="D17" s="11">
        <v>-1592</v>
      </c>
      <c r="E17" s="11">
        <v>-47792</v>
      </c>
      <c r="F17" s="11"/>
      <c r="G17" s="11"/>
      <c r="H17" s="11">
        <f t="shared" si="0"/>
        <v>-1061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-115619</v>
      </c>
      <c r="C18" s="11">
        <v>-66719</v>
      </c>
      <c r="D18" s="11"/>
      <c r="E18" s="11">
        <v>-47792</v>
      </c>
      <c r="F18" s="11"/>
      <c r="G18" s="11"/>
      <c r="H18" s="11">
        <f t="shared" si="0"/>
        <v>-1108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-113814</v>
      </c>
      <c r="C19" s="11">
        <v>-66719</v>
      </c>
      <c r="D19" s="11"/>
      <c r="E19" s="11">
        <v>-47792</v>
      </c>
      <c r="F19" s="11"/>
      <c r="G19" s="11"/>
      <c r="H19" s="11">
        <f t="shared" si="0"/>
        <v>697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-140562</v>
      </c>
      <c r="C20" s="11">
        <v>-80925</v>
      </c>
      <c r="D20" s="11"/>
      <c r="E20" s="11">
        <v>-57792</v>
      </c>
      <c r="F20" s="11"/>
      <c r="G20" s="11"/>
      <c r="H20" s="11">
        <f t="shared" si="0"/>
        <v>-1845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-108058</v>
      </c>
      <c r="C21" s="11">
        <v>-55144</v>
      </c>
      <c r="D21" s="11"/>
      <c r="E21" s="11">
        <v>-51792</v>
      </c>
      <c r="F21" s="11"/>
      <c r="G21" s="11"/>
      <c r="H21" s="11">
        <f t="shared" si="0"/>
        <v>-1122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-2250427</v>
      </c>
      <c r="C35" s="44">
        <f t="shared" si="1"/>
        <v>-1541730</v>
      </c>
      <c r="D35" s="11">
        <f t="shared" si="1"/>
        <v>-470506</v>
      </c>
      <c r="E35" s="44">
        <f t="shared" si="1"/>
        <v>-1165895</v>
      </c>
      <c r="F35" s="11">
        <f t="shared" si="1"/>
        <v>0</v>
      </c>
      <c r="G35" s="11">
        <f t="shared" si="1"/>
        <v>0</v>
      </c>
      <c r="H35" s="11">
        <f t="shared" si="1"/>
        <v>-12264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-33971.279999999999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63">
        <v>348514.64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37090</v>
      </c>
      <c r="F39" s="47"/>
      <c r="G39" s="47"/>
      <c r="H39" s="137">
        <f>+H38+H37</f>
        <v>314543.35999999999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workbookViewId="3">
      <selection activeCell="A39" sqref="A39"/>
    </sheetView>
  </sheetViews>
  <sheetFormatPr defaultRowHeight="13.2" x14ac:dyDescent="0.25"/>
  <cols>
    <col min="1" max="1" width="8.554687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-240679</v>
      </c>
      <c r="E8" s="129">
        <v>-245557</v>
      </c>
      <c r="F8" s="11"/>
      <c r="G8" s="11"/>
      <c r="H8" s="24">
        <f t="shared" si="0"/>
        <v>-4878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-318413</v>
      </c>
      <c r="E16" s="11">
        <v>-324639</v>
      </c>
      <c r="F16" s="11"/>
      <c r="G16" s="11"/>
      <c r="H16" s="24">
        <f t="shared" si="0"/>
        <v>-6226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-246132</v>
      </c>
      <c r="E17" s="11">
        <v>-249630</v>
      </c>
      <c r="F17" s="11"/>
      <c r="G17" s="11"/>
      <c r="H17" s="24">
        <f t="shared" si="0"/>
        <v>-3498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-267258</v>
      </c>
      <c r="E18" s="11">
        <v>-267273</v>
      </c>
      <c r="F18" s="11"/>
      <c r="G18" s="11"/>
      <c r="H18" s="24">
        <f t="shared" si="0"/>
        <v>-15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-258788</v>
      </c>
      <c r="E19" s="11">
        <v>-289499</v>
      </c>
      <c r="F19" s="11"/>
      <c r="G19" s="11"/>
      <c r="H19" s="24">
        <f t="shared" si="0"/>
        <v>-30711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-281649</v>
      </c>
      <c r="E20" s="11">
        <v>-287581</v>
      </c>
      <c r="F20" s="11"/>
      <c r="G20" s="11"/>
      <c r="H20" s="24">
        <f t="shared" si="0"/>
        <v>-5932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-246045</v>
      </c>
      <c r="E21" s="11">
        <v>-248990</v>
      </c>
      <c r="F21" s="11"/>
      <c r="G21" s="11"/>
      <c r="H21" s="24">
        <f t="shared" si="0"/>
        <v>-2945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v>-256498</v>
      </c>
      <c r="E22" s="11">
        <v>-264482</v>
      </c>
      <c r="F22" s="11"/>
      <c r="G22" s="11"/>
      <c r="H22" s="24">
        <f t="shared" si="0"/>
        <v>-7984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-4778142</v>
      </c>
      <c r="E36" s="11">
        <f t="shared" si="15"/>
        <v>-4913743</v>
      </c>
      <c r="F36" s="11">
        <f t="shared" si="15"/>
        <v>0</v>
      </c>
      <c r="G36" s="11">
        <f t="shared" si="15"/>
        <v>0</v>
      </c>
      <c r="H36" s="11">
        <f t="shared" si="15"/>
        <v>-135601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37072</v>
      </c>
      <c r="B37" s="2" t="s">
        <v>46</v>
      </c>
      <c r="C37" s="373">
        <v>50521</v>
      </c>
      <c r="D37" s="341"/>
      <c r="E37" s="374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37090</v>
      </c>
      <c r="B38" s="2" t="s">
        <v>46</v>
      </c>
      <c r="C38" s="131">
        <f>+C37+C36-B36</f>
        <v>50521</v>
      </c>
      <c r="D38" s="260"/>
      <c r="E38" s="131">
        <f>+E37+E36-D36</f>
        <v>34927</v>
      </c>
      <c r="F38" s="260"/>
      <c r="G38" s="131"/>
      <c r="H38" s="131">
        <f>+H37+H36</f>
        <v>85448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34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8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5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5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5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5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5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5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workbookViewId="3">
      <selection activeCell="A18" sqref="A18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692</v>
      </c>
      <c r="C16" s="11">
        <v>12248</v>
      </c>
      <c r="D16" s="25">
        <f t="shared" si="0"/>
        <v>11556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39802</v>
      </c>
      <c r="C17" s="11">
        <v>37000</v>
      </c>
      <c r="D17" s="25">
        <f t="shared" si="0"/>
        <v>-2802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98820</v>
      </c>
      <c r="C18" s="11">
        <v>96392</v>
      </c>
      <c r="D18" s="25">
        <f t="shared" si="0"/>
        <v>-2428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125524</v>
      </c>
      <c r="C19" s="11">
        <v>131334</v>
      </c>
      <c r="D19" s="25">
        <f t="shared" si="0"/>
        <v>5810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132209</v>
      </c>
      <c r="C20" s="11">
        <v>132373</v>
      </c>
      <c r="D20" s="25">
        <f t="shared" si="0"/>
        <v>164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123588</v>
      </c>
      <c r="C21" s="11">
        <v>121560</v>
      </c>
      <c r="D21" s="25">
        <f t="shared" si="0"/>
        <v>-2028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108500</v>
      </c>
      <c r="C22" s="11">
        <v>106912</v>
      </c>
      <c r="D22" s="25">
        <f t="shared" si="0"/>
        <v>-1588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142283</v>
      </c>
      <c r="C23" s="11">
        <v>139594</v>
      </c>
      <c r="D23" s="25">
        <f t="shared" si="0"/>
        <v>-2689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1739588</v>
      </c>
      <c r="C37" s="11">
        <f>SUM(C6:C36)</f>
        <v>1742841</v>
      </c>
      <c r="D37" s="11">
        <f>SUM(D6:D36)</f>
        <v>3253</v>
      </c>
      <c r="E37" s="10"/>
      <c r="F37" s="11"/>
      <c r="G37" s="11"/>
      <c r="H37" s="129"/>
      <c r="I37" s="269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0"/>
      <c r="J38" s="251"/>
      <c r="K38" s="271"/>
      <c r="L38" s="251"/>
      <c r="M38" s="26"/>
      <c r="O38" s="14"/>
    </row>
    <row r="39" spans="1:16" x14ac:dyDescent="0.25">
      <c r="A39" s="57">
        <v>37072</v>
      </c>
      <c r="C39" s="15"/>
      <c r="D39" s="380">
        <v>59179</v>
      </c>
      <c r="E39" s="57"/>
      <c r="G39" s="15"/>
      <c r="H39" s="51"/>
      <c r="I39" s="272"/>
      <c r="J39" s="251"/>
      <c r="K39" s="273"/>
      <c r="L39" s="51"/>
      <c r="M39" s="57"/>
      <c r="O39" s="15"/>
      <c r="P39" s="24"/>
    </row>
    <row r="40" spans="1:16" x14ac:dyDescent="0.25">
      <c r="A40" s="57">
        <v>37090</v>
      </c>
      <c r="C40" s="48"/>
      <c r="D40" s="25">
        <f>+D39+D37</f>
        <v>62432</v>
      </c>
      <c r="E40" s="57"/>
      <c r="G40" s="48"/>
      <c r="H40" s="131"/>
      <c r="I40" s="272"/>
      <c r="J40" s="251"/>
      <c r="K40" s="274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2001-07-20T15:27:36Z</cp:lastPrinted>
  <dcterms:created xsi:type="dcterms:W3CDTF">2000-03-28T16:52:23Z</dcterms:created>
  <dcterms:modified xsi:type="dcterms:W3CDTF">2023-09-10T12:03:42Z</dcterms:modified>
</cp:coreProperties>
</file>