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0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J34" i="73"/>
  <c r="B35" i="73"/>
  <c r="C35" i="73"/>
  <c r="D35" i="73"/>
  <c r="E35" i="73"/>
  <c r="F35" i="73"/>
  <c r="G35" i="73"/>
  <c r="H35" i="73"/>
  <c r="J35" i="73"/>
  <c r="K35" i="73"/>
  <c r="L35" i="73"/>
  <c r="C36" i="73"/>
  <c r="G36" i="73"/>
  <c r="K36" i="73"/>
  <c r="L36" i="73"/>
  <c r="M36" i="73"/>
  <c r="C37" i="73"/>
  <c r="G37" i="73"/>
  <c r="C38" i="73"/>
  <c r="G38" i="73"/>
  <c r="H38" i="73"/>
  <c r="H39" i="73"/>
  <c r="C40" i="73"/>
  <c r="G40" i="73"/>
  <c r="H40" i="73"/>
  <c r="M44" i="73"/>
  <c r="H50" i="73"/>
  <c r="H52" i="73"/>
  <c r="M52" i="73"/>
  <c r="H54" i="73"/>
  <c r="M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E36" i="20"/>
  <c r="E37" i="20"/>
  <c r="F37" i="20"/>
  <c r="G37" i="20"/>
  <c r="H37" i="20"/>
  <c r="F38" i="20"/>
  <c r="G38" i="20"/>
  <c r="H38" i="20"/>
  <c r="I38" i="20"/>
  <c r="B44" i="20"/>
  <c r="B45" i="20"/>
  <c r="C45" i="20"/>
  <c r="C46" i="20"/>
  <c r="I52" i="20"/>
  <c r="C6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<sst xmlns="http://schemas.openxmlformats.org/spreadsheetml/2006/main" count="623" uniqueCount="203">
  <si>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</si>
  <si>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</si>
  <si>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</si>
  <si>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</si>
  <si>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</si>
  <si>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</si>
  <si>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</si>
  <si>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</si>
  <si>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</si>
  <si>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</si>
  <si>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</si>
  <si>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</si>
  <si>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</si>
  <si>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</si>
  <si>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</si>
  <si>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</si>
  <si>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</si>
  <si>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</si>
  <si>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</si>
  <si>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</si>
  <si>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</si>
  <si>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</si>
  <si>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</si>
  <si>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</si>
  <si>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</si>
  <si>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</si>
  <si>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</si>
  <si>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</si>
  <si>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</si>
  <si>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</si>
  <si>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</si>
  <si>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</si>
  <si>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</si>
  <si>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</si>
  <si>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</si>
  <si>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</si>
  <si>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</si>
  <si>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</si>
  <si>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</si>
  <si>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</si>
  <si>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</si>
  <si>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</si>
  <si>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</si>
  <si>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</si>
  <si>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</si>
  <si>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</si>
  <si>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</si>
  <si>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</si>
  <si>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</si>
  <si>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</si>
  <si>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</si>
  <si>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</si>
  <si>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</si>
  <si>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</si>
  <si>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</si>
  <si>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</si>
  <si>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</si>
  <si>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</si>
  <si>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</si>
  <si>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</si>
  <si>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</si>
  <si>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</si>
  <si>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</si>
  <si>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</si>
  <si>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</si>
  <si>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</si>
  <si>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</si>
  <si>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</si>
  <si>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</si>
  <si>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</si>
  <si>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</si>
  <si>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</si>
  <si>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</si>
  <si>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</si>
  <si>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</si>
  <si>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</si>
  <si>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</si>
  <si>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</si>
  <si>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</si>
  <si>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</si>
  <si>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</si>
  <si>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</si>
  <si>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</si>
  <si>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</si>
  <si>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</si>
  <si>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</si>
  <si>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</si>
  <si>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</si>
  <si>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</si>
  <si>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</si>
  <si>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</si>
  <si>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</si>
  <si>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</si>
  <si>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</si>
  <si>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</si>
  <si>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</si>
  <si>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</si>
  <si>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</si>
  <si>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</si>
  <si>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</si>
  <si>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</si>
  <si>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</si>
  <si>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</si>
  <si>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</si>
  <si>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</si>
  <si>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</si>
  <si>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</si>
  <si>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</si>
  <si>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</si>
  <si>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</si>
  <si>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</si>
  <si>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</si>
  <si>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</si>
  <si>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</si>
  <si>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</si>
  <si>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</si>
  <si>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</si>
  <si>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</si>
  <si>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</si>
  <si>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</si>
  <si>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</si>
  <si>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</si>
  <si>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</si>
  <si>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</si>
  <si>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</si>
  <si>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</si>
  <si>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</si>
  <si>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</si>
  <si>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</si>
  <si>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</si>
  <si>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</si>
  <si>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</si>
  <si>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</si>
  <si>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</si>
  <si>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</si>
  <si>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</si>
  <si>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</si>
  <si>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</si>
  <si>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</si>
  <si>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</si>
  <si>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</si>
  <si>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</si>
  <si>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</si>
  <si>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</si>
  <si>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</si>
  <si>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</si>
  <si>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</si>
  <si>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</si>
  <si>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</si>
  <si>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</si>
  <si>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</si>
  <si>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working on 10,000/d to sell</t>
  </si>
  <si>
    <t>balance is cashed out monthly</t>
  </si>
  <si>
    <t>Laura Giambro</t>
  </si>
  <si>
    <t>Positive=due Transwestern</t>
  </si>
  <si>
    <t>Date</t>
  </si>
  <si>
    <t>fire at Milagro on 15th has prevented payback</t>
  </si>
  <si>
    <t>47,000 mmbtus received in payback in 7/01</t>
  </si>
  <si>
    <t>108,000 mmbtus received in payback in 7/01</t>
  </si>
  <si>
    <t>Lorraine is talking to Red Cedar about cash out</t>
  </si>
  <si>
    <t>6/30/01 bal of $887,643.73 invoiced-not rec'd as of 7/27/01</t>
  </si>
  <si>
    <t>scheduling 3,000/d in payback</t>
  </si>
  <si>
    <t>received 35,000 mmbtus in payback in 7/01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</si>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</sst>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166" fontId="36" fillId="0" borderId="1" xfId="1" applyNumberFormat="1" applyFont="1" applyFill="1" applyBorder="1"/>
    <xf numFmtId="37" fontId="36" fillId="0" borderId="0" xfId="1" applyNumberFormat="1" applyFont="1" applyFill="1"/>
    <xf numFmtId="37" fontId="36" fillId="0" borderId="0" xfId="1" applyNumberFormat="1" applyFont="1" applyFill="1" applyBorder="1"/>
    <xf numFmtId="5" fontId="36" fillId="0" borderId="1" xfId="0" applyNumberFormat="1" applyFont="1" applyFill="1" applyBorder="1"/>
    <xf numFmtId="166" fontId="36" fillId="0" borderId="0" xfId="1" applyNumberFormat="1" applyFont="1" applyFill="1" applyBorder="1"/>
    <xf numFmtId="7" fontId="36" fillId="0" borderId="1" xfId="0" applyNumberFormat="1" applyFont="1" applyFill="1" applyBorder="1"/>
    <xf numFmtId="5" fontId="36" fillId="0" borderId="0" xfId="1" applyNumberFormat="1" applyFont="1" applyFill="1"/>
    <xf numFmtId="7" fontId="36" fillId="0" borderId="0" xfId="1" applyNumberFormat="1" applyFont="1" applyFill="1"/>
    <xf numFmtId="166" fontId="36" fillId="0" borderId="0" xfId="1" applyNumberFormat="1" applyFont="1" applyFill="1"/>
    <xf numFmtId="44" fontId="36" fillId="0" borderId="0" xfId="2" applyFont="1" applyFill="1"/>
    <xf numFmtId="7" fontId="37" fillId="0" borderId="1" xfId="1" applyNumberFormat="1" applyFont="1" applyFill="1" applyBorder="1"/>
    <xf numFmtId="192" fontId="36" fillId="0" borderId="0" xfId="0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5" fontId="36" fillId="0" borderId="0" xfId="0" applyNumberFormat="1" applyFont="1" applyFill="1" applyAlignment="1">
      <alignment horizontal="left" indent="2"/>
    </xf>
    <xf numFmtId="166" fontId="36" fillId="0" borderId="1" xfId="0" applyNumberFormat="1" applyFont="1" applyFill="1" applyBorder="1"/>
    <xf numFmtId="5" fontId="36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8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5" fontId="36" fillId="3" borderId="1" xfId="0" applyNumberFormat="1" applyFont="1" applyFill="1" applyBorder="1"/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3.07</v>
          </cell>
          <cell r="K39">
            <v>2.67</v>
          </cell>
          <cell r="M39">
            <v>2.94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abSelected="1" topLeftCell="C46" workbookViewId="2">
      <selection activeCell="I55" sqref="I55"/>
    </sheetView>
    <sheetView tabSelected="1" workbookViewId="3">
      <selection activeCell="B4" sqref="B4"/>
    </sheetView>
  </sheetViews>
  <sheetFormatPr defaultRowHeight="13.2" outlineLevelRow="2" x14ac:dyDescent="0.25"/>
  <cols>
    <col min="1" max="1" width="18.88671875" style="295" customWidth="1"/>
    <col min="2" max="2" width="10.4414062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11.109375" bestFit="1" customWidth="1"/>
    <col min="8" max="8" width="12.88671875" bestFit="1" customWidth="1"/>
    <col min="9" max="9" width="12.6640625" customWidth="1"/>
    <col min="10" max="11" width="9.5546875" bestFit="1" customWidth="1"/>
    <col min="13" max="13" width="34.44140625" customWidth="1"/>
  </cols>
  <sheetData>
    <row r="1" spans="1:32" ht="13.8" x14ac:dyDescent="0.25">
      <c r="A1" s="366"/>
    </row>
    <row r="2" spans="1:32" ht="12.9" customHeight="1" x14ac:dyDescent="0.25">
      <c r="A2" s="34" t="s">
        <v>146</v>
      </c>
      <c r="D2" s="7"/>
      <c r="I2" s="432" t="s">
        <v>81</v>
      </c>
      <c r="J2" s="435"/>
      <c r="K2" s="32"/>
    </row>
    <row r="3" spans="1:32" ht="12.9" customHeight="1" x14ac:dyDescent="0.25">
      <c r="D3" s="7"/>
      <c r="I3" s="433" t="s">
        <v>30</v>
      </c>
      <c r="J3" s="436">
        <f>+summary!H3</f>
        <v>2.67</v>
      </c>
      <c r="K3" s="457">
        <f ca="1">NOW()</f>
        <v>37111.673716087964</v>
      </c>
    </row>
    <row r="4" spans="1:32" ht="12.9" customHeight="1" x14ac:dyDescent="0.25">
      <c r="A4" s="34" t="s">
        <v>154</v>
      </c>
      <c r="C4" s="34" t="s">
        <v>5</v>
      </c>
      <c r="D4" s="7"/>
      <c r="I4" s="434" t="s">
        <v>31</v>
      </c>
      <c r="J4" s="436">
        <f>+summary!H4</f>
        <v>2.94</v>
      </c>
      <c r="K4" s="32"/>
    </row>
    <row r="5" spans="1:32" ht="12.9" customHeight="1" x14ac:dyDescent="0.25">
      <c r="D5" s="7"/>
      <c r="I5" s="433" t="s">
        <v>120</v>
      </c>
      <c r="J5" s="436">
        <f>+summary!H5</f>
        <v>3.07</v>
      </c>
      <c r="K5" s="32"/>
    </row>
    <row r="6" spans="1:32" ht="12" customHeight="1" x14ac:dyDescent="0.25"/>
    <row r="7" spans="1:32" ht="12.9" customHeight="1" x14ac:dyDescent="0.25">
      <c r="A7" s="455" t="s">
        <v>188</v>
      </c>
      <c r="B7" s="456"/>
      <c r="AD7" s="32"/>
      <c r="AE7" s="32"/>
      <c r="AF7" s="32"/>
    </row>
    <row r="8" spans="1:32" ht="15.9" customHeight="1" outlineLevel="2" x14ac:dyDescent="0.25">
      <c r="A8" s="32"/>
      <c r="B8" s="47"/>
      <c r="C8" s="453" t="s">
        <v>186</v>
      </c>
      <c r="D8" s="12" t="s">
        <v>165</v>
      </c>
      <c r="E8" s="12" t="s">
        <v>174</v>
      </c>
      <c r="F8" s="2" t="s">
        <v>164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413" t="s">
        <v>92</v>
      </c>
      <c r="B9" s="441" t="s">
        <v>172</v>
      </c>
      <c r="C9" s="454" t="s">
        <v>187</v>
      </c>
      <c r="D9" s="39" t="s">
        <v>0</v>
      </c>
      <c r="E9" s="39" t="s">
        <v>173</v>
      </c>
      <c r="F9" s="39" t="s">
        <v>155</v>
      </c>
      <c r="G9" s="439" t="s">
        <v>168</v>
      </c>
      <c r="H9" s="414" t="s">
        <v>104</v>
      </c>
      <c r="I9" s="413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413" t="s">
        <v>178</v>
      </c>
    </row>
    <row r="12" spans="1:32" ht="15.9" customHeight="1" outlineLevel="1" x14ac:dyDescent="0.25">
      <c r="A12" s="206" t="s">
        <v>132</v>
      </c>
      <c r="B12" s="389">
        <f>+Calpine!D41</f>
        <v>-1460.2999999999956</v>
      </c>
      <c r="C12" s="416">
        <f>+B12/$J$4</f>
        <v>-496.70068027210738</v>
      </c>
      <c r="D12" s="14">
        <f>+Calpine!D47</f>
        <v>100960</v>
      </c>
      <c r="E12" s="70">
        <f>+C12-D12</f>
        <v>-101456.7006802721</v>
      </c>
      <c r="F12" s="411">
        <f>+Calpine!A41</f>
        <v>37110</v>
      </c>
      <c r="G12" s="205"/>
      <c r="H12" s="206" t="s">
        <v>102</v>
      </c>
      <c r="I12" s="395"/>
      <c r="J12" s="70"/>
      <c r="K12" s="32"/>
    </row>
    <row r="13" spans="1:32" ht="15.9" customHeight="1" outlineLevel="2" x14ac:dyDescent="0.25">
      <c r="A13" s="32" t="s">
        <v>145</v>
      </c>
      <c r="B13" s="389">
        <f>+'Citizens-Griffith'!D41</f>
        <v>-151118.18</v>
      </c>
      <c r="C13" s="415">
        <f>+B13/$J$4</f>
        <v>-51400.741496598639</v>
      </c>
      <c r="D13" s="14">
        <f>+'Citizens-Griffith'!D48</f>
        <v>-82264</v>
      </c>
      <c r="E13" s="70">
        <f>+C13-D13</f>
        <v>30863.258503401361</v>
      </c>
      <c r="F13" s="411">
        <f>+'Citizens-Griffith'!A41</f>
        <v>37109</v>
      </c>
      <c r="G13" s="32"/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89">
        <f>+'NS Steel'!D41</f>
        <v>-415385.86</v>
      </c>
      <c r="C14" s="415">
        <f>+B14/$J$4</f>
        <v>-141287.7074829932</v>
      </c>
      <c r="D14" s="14">
        <f>+'NS Steel'!D50</f>
        <v>-74395</v>
      </c>
      <c r="E14" s="70">
        <f>+C14-D14</f>
        <v>-66892.707482993195</v>
      </c>
      <c r="F14" s="412">
        <f>+'NS Steel'!A41</f>
        <v>37110</v>
      </c>
      <c r="G14" s="205" t="s">
        <v>171</v>
      </c>
      <c r="H14" s="32" t="s">
        <v>103</v>
      </c>
      <c r="I14" s="395"/>
      <c r="J14" s="32"/>
      <c r="K14" s="32"/>
    </row>
    <row r="15" spans="1:32" ht="15.9" customHeight="1" outlineLevel="1" x14ac:dyDescent="0.25">
      <c r="A15" s="206" t="s">
        <v>140</v>
      </c>
      <c r="B15" s="392">
        <f>+Citizens!D18</f>
        <v>-839828.24</v>
      </c>
      <c r="C15" s="417">
        <f>+B15/$J$4</f>
        <v>-285655.86394557822</v>
      </c>
      <c r="D15" s="393">
        <f>+Citizens!D24</f>
        <v>-182140</v>
      </c>
      <c r="E15" s="72">
        <f>+C15-D15</f>
        <v>-103515.86394557822</v>
      </c>
      <c r="F15" s="411">
        <f>+Citizens!A18</f>
        <v>37109</v>
      </c>
      <c r="G15" s="32"/>
      <c r="H15" s="206" t="s">
        <v>102</v>
      </c>
      <c r="I15" s="395"/>
      <c r="J15" s="32"/>
      <c r="K15" s="32"/>
      <c r="T15" s="267"/>
    </row>
    <row r="16" spans="1:32" ht="15.9" customHeight="1" outlineLevel="2" x14ac:dyDescent="0.25">
      <c r="A16" s="153" t="s">
        <v>179</v>
      </c>
      <c r="B16" s="437">
        <f>SUBTOTAL(9,B12:B15)</f>
        <v>-1407792.58</v>
      </c>
      <c r="C16" s="448">
        <f>SUBTOTAL(9,C12:C15)</f>
        <v>-478841.01360544213</v>
      </c>
      <c r="D16" s="449">
        <f>SUBTOTAL(9,D12:D15)</f>
        <v>-237839</v>
      </c>
      <c r="E16" s="450">
        <f>SUBTOTAL(9,E12:E15)</f>
        <v>-241002.01360544216</v>
      </c>
      <c r="F16" s="411"/>
      <c r="G16" s="32"/>
      <c r="H16" s="206"/>
      <c r="I16" s="395"/>
      <c r="J16" s="32"/>
      <c r="K16" s="32"/>
      <c r="T16" s="267"/>
    </row>
    <row r="17" spans="1:20" ht="12.9" customHeight="1" outlineLevel="2" x14ac:dyDescent="0.25"/>
    <row r="18" spans="1:20" ht="15.9" customHeight="1" outlineLevel="2" x14ac:dyDescent="0.25">
      <c r="A18" s="452" t="s">
        <v>59</v>
      </c>
    </row>
    <row r="19" spans="1:20" ht="15.9" customHeight="1" outlineLevel="2" x14ac:dyDescent="0.25">
      <c r="A19" s="32" t="s">
        <v>74</v>
      </c>
      <c r="B19" s="390">
        <f>+transcol!$D$43</f>
        <v>5382.66</v>
      </c>
      <c r="C19" s="415">
        <f>+B19/$J$4</f>
        <v>1830.8367346938776</v>
      </c>
      <c r="D19" s="14">
        <f>+transcol!D50</f>
        <v>-48934</v>
      </c>
      <c r="E19" s="70">
        <f>+C19-D19</f>
        <v>50764.836734693876</v>
      </c>
      <c r="F19" s="412">
        <f>+transcol!A43</f>
        <v>37110</v>
      </c>
      <c r="G19" s="205"/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92">
        <f>+burlington!D42</f>
        <v>-56731.08</v>
      </c>
      <c r="C20" s="419">
        <f>+B20/$J$3</f>
        <v>-21247.595505617977</v>
      </c>
      <c r="D20" s="393">
        <f>+C20</f>
        <v>-21247.595505617977</v>
      </c>
      <c r="E20" s="72">
        <f>+C20-D20</f>
        <v>0</v>
      </c>
      <c r="F20" s="411">
        <f>+burlington!A42</f>
        <v>37109</v>
      </c>
      <c r="G20" s="32"/>
      <c r="H20" s="32" t="s">
        <v>116</v>
      </c>
      <c r="I20" s="32" t="s">
        <v>152</v>
      </c>
      <c r="J20" s="32"/>
      <c r="K20" s="32"/>
    </row>
    <row r="21" spans="1:20" ht="15.9" customHeight="1" outlineLevel="2" x14ac:dyDescent="0.25">
      <c r="A21" s="153" t="s">
        <v>181</v>
      </c>
      <c r="B21" s="437">
        <f>SUBTOTAL(9,B19:B20)</f>
        <v>-51348.42</v>
      </c>
      <c r="C21" s="438">
        <f>SUBTOTAL(9,C19:C20)</f>
        <v>-19416.758770924098</v>
      </c>
      <c r="D21" s="449">
        <f>SUBTOTAL(9,D19:D20)</f>
        <v>-70181.595505617981</v>
      </c>
      <c r="E21" s="450">
        <f>SUBTOTAL(9,E19:E20)</f>
        <v>50764.836734693876</v>
      </c>
      <c r="F21" s="411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413" t="s">
        <v>182</v>
      </c>
    </row>
    <row r="24" spans="1:20" ht="15.9" customHeight="1" outlineLevel="2" x14ac:dyDescent="0.25">
      <c r="A24" s="206" t="s">
        <v>90</v>
      </c>
      <c r="B24" s="389">
        <f>+NNG!$D$24</f>
        <v>608852.07999999996</v>
      </c>
      <c r="C24" s="415">
        <f t="shared" ref="C24:C35" si="0">+B24/$J$4</f>
        <v>207092.54421768707</v>
      </c>
      <c r="D24" s="14">
        <f>+NNG!D34</f>
        <v>48156</v>
      </c>
      <c r="E24" s="70">
        <f t="shared" ref="E24:E37" si="1">+C24-D24</f>
        <v>158936.54421768707</v>
      </c>
      <c r="F24" s="411">
        <f>+NNG!A24</f>
        <v>37109</v>
      </c>
      <c r="G24" s="440" t="s">
        <v>169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89">
        <f>+Conoco!$F$41</f>
        <v>622933.82000000007</v>
      </c>
      <c r="C25" s="415">
        <f t="shared" si="0"/>
        <v>211882.2517006803</v>
      </c>
      <c r="D25" s="14">
        <f>+Conoco!D48</f>
        <v>98619</v>
      </c>
      <c r="E25" s="70">
        <f t="shared" si="1"/>
        <v>113263.2517006803</v>
      </c>
      <c r="F25" s="411">
        <f>+Conoco!A41</f>
        <v>37110</v>
      </c>
      <c r="G25" s="205"/>
      <c r="H25" s="32" t="s">
        <v>116</v>
      </c>
      <c r="I25" s="32" t="s">
        <v>150</v>
      </c>
      <c r="J25" s="32"/>
      <c r="K25" s="32"/>
    </row>
    <row r="26" spans="1:20" ht="15.9" customHeight="1" outlineLevel="2" x14ac:dyDescent="0.25">
      <c r="A26" s="32" t="s">
        <v>3</v>
      </c>
      <c r="B26" s="389">
        <f>+'Amoco Abo'!$F$43</f>
        <v>433467.08999999997</v>
      </c>
      <c r="C26" s="415">
        <f t="shared" si="0"/>
        <v>147437.78571428571</v>
      </c>
      <c r="D26" s="14">
        <f>+'Amoco Abo'!D49</f>
        <v>-238695</v>
      </c>
      <c r="E26" s="70">
        <f t="shared" si="1"/>
        <v>386132.78571428568</v>
      </c>
      <c r="F26" s="412">
        <f>+'Amoco Abo'!A43</f>
        <v>37109</v>
      </c>
      <c r="G26" s="205"/>
      <c r="H26" s="32" t="s">
        <v>118</v>
      </c>
      <c r="I26" s="32"/>
      <c r="J26" s="32"/>
      <c r="K26" s="32"/>
    </row>
    <row r="27" spans="1:20" ht="15.9" customHeight="1" outlineLevel="2" x14ac:dyDescent="0.25">
      <c r="A27" s="32" t="s">
        <v>110</v>
      </c>
      <c r="B27" s="389">
        <f>+KN_Westar!F41</f>
        <v>470999.45999999996</v>
      </c>
      <c r="C27" s="415">
        <f t="shared" si="0"/>
        <v>160203.89795918367</v>
      </c>
      <c r="D27" s="14">
        <f>+KN_Westar!D48</f>
        <v>29439</v>
      </c>
      <c r="E27" s="70">
        <f t="shared" si="1"/>
        <v>130764.89795918367</v>
      </c>
      <c r="F27" s="412">
        <f>+KN_Westar!A41</f>
        <v>37110</v>
      </c>
      <c r="G27" s="205"/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89">
        <f>+DEFS!H54</f>
        <v>458575.93000000017</v>
      </c>
      <c r="C28" s="416">
        <f t="shared" si="0"/>
        <v>155978.20748299325</v>
      </c>
      <c r="D28" s="14">
        <f>+Duke!I52+DEFS!M44</f>
        <v>-8140</v>
      </c>
      <c r="E28" s="70">
        <f t="shared" si="1"/>
        <v>164118.20748299325</v>
      </c>
      <c r="F28" s="412">
        <f>+DEFS!A40</f>
        <v>37109</v>
      </c>
      <c r="G28" s="205"/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89">
        <f>+CIG!D43</f>
        <v>373165.83999999997</v>
      </c>
      <c r="C29" s="415">
        <f t="shared" si="0"/>
        <v>126927.15646258503</v>
      </c>
      <c r="D29" s="14">
        <f>+CIG!D49</f>
        <v>22075</v>
      </c>
      <c r="E29" s="70">
        <f t="shared" si="1"/>
        <v>104852.15646258503</v>
      </c>
      <c r="F29" s="412">
        <f>+CIG!A43</f>
        <v>37110</v>
      </c>
      <c r="G29" s="205"/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89">
        <f>+mewborne!$J$43</f>
        <v>330625.32</v>
      </c>
      <c r="C30" s="415">
        <f t="shared" si="0"/>
        <v>112457.5918367347</v>
      </c>
      <c r="D30" s="14">
        <f>+mewborne!D49</f>
        <v>131684</v>
      </c>
      <c r="E30" s="70">
        <f t="shared" si="1"/>
        <v>-19226.408163265296</v>
      </c>
      <c r="F30" s="412">
        <f>+mewborne!A43</f>
        <v>37109</v>
      </c>
      <c r="G30" s="205"/>
      <c r="H30" s="32" t="s">
        <v>102</v>
      </c>
      <c r="I30" s="32"/>
      <c r="J30" s="32"/>
      <c r="K30" s="32"/>
    </row>
    <row r="31" spans="1:20" ht="18" customHeight="1" x14ac:dyDescent="0.25">
      <c r="A31" s="32" t="s">
        <v>163</v>
      </c>
      <c r="B31" s="389">
        <f>+PGETX!$H$39</f>
        <v>226886</v>
      </c>
      <c r="C31" s="415">
        <f t="shared" si="0"/>
        <v>77172.108843537411</v>
      </c>
      <c r="D31" s="14">
        <f>+PGETX!E48</f>
        <v>27010</v>
      </c>
      <c r="E31" s="70">
        <f t="shared" si="1"/>
        <v>50162.108843537411</v>
      </c>
      <c r="F31" s="412">
        <f>+PGETX!E39</f>
        <v>37109</v>
      </c>
      <c r="G31" s="205" t="s">
        <v>169</v>
      </c>
      <c r="H31" s="32" t="s">
        <v>105</v>
      </c>
      <c r="I31" s="32"/>
      <c r="J31" s="32"/>
      <c r="K31" s="32"/>
    </row>
    <row r="32" spans="1:20" ht="17.100000000000001" customHeight="1" x14ac:dyDescent="0.25">
      <c r="A32" s="32" t="s">
        <v>85</v>
      </c>
      <c r="B32" s="389">
        <f>+PNM!$D$23</f>
        <v>193150.71000000002</v>
      </c>
      <c r="C32" s="415">
        <f t="shared" si="0"/>
        <v>65697.520408163269</v>
      </c>
      <c r="D32" s="14">
        <f>+PNM!D30</f>
        <v>32264</v>
      </c>
      <c r="E32" s="70">
        <f t="shared" si="1"/>
        <v>33433.520408163269</v>
      </c>
      <c r="F32" s="412">
        <f>+PNM!A23</f>
        <v>37109</v>
      </c>
      <c r="G32" s="205"/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89">
        <f>+EOG!J41</f>
        <v>159540.28</v>
      </c>
      <c r="C33" s="415">
        <f t="shared" si="0"/>
        <v>54265.401360544216</v>
      </c>
      <c r="D33" s="14">
        <f>+EOG!D48</f>
        <v>-56810</v>
      </c>
      <c r="E33" s="70">
        <f t="shared" si="1"/>
        <v>111075.40136054422</v>
      </c>
      <c r="F33" s="411">
        <f>+EOG!A41</f>
        <v>37109</v>
      </c>
      <c r="G33" s="205" t="s">
        <v>170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89">
        <f>+SidR!D41</f>
        <v>160721.5</v>
      </c>
      <c r="C34" s="415">
        <f t="shared" si="0"/>
        <v>54667.176870748299</v>
      </c>
      <c r="D34" s="14">
        <f>+C34</f>
        <v>54667.176870748299</v>
      </c>
      <c r="E34" s="70">
        <f t="shared" si="1"/>
        <v>0</v>
      </c>
      <c r="F34" s="412">
        <f>+SidR!A41</f>
        <v>37110</v>
      </c>
      <c r="G34" s="205" t="s">
        <v>169</v>
      </c>
      <c r="H34" s="32" t="s">
        <v>105</v>
      </c>
      <c r="I34" s="32" t="s">
        <v>177</v>
      </c>
      <c r="J34" s="32"/>
      <c r="K34" s="32"/>
    </row>
    <row r="35" spans="1:12" ht="17.100000000000001" customHeight="1" x14ac:dyDescent="0.25">
      <c r="A35" s="32" t="s">
        <v>112</v>
      </c>
      <c r="B35" s="389">
        <f>+Continental!F43</f>
        <v>-14809</v>
      </c>
      <c r="C35" s="416">
        <f t="shared" si="0"/>
        <v>-5037.074829931973</v>
      </c>
      <c r="D35" s="14">
        <f>+Continental!D50</f>
        <v>-20765</v>
      </c>
      <c r="E35" s="70">
        <f t="shared" si="1"/>
        <v>15727.925170068027</v>
      </c>
      <c r="F35" s="412">
        <f>+Continental!A43</f>
        <v>37109</v>
      </c>
      <c r="G35" s="205"/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89">
        <f>+EPFS!D41</f>
        <v>-69077.67</v>
      </c>
      <c r="C36" s="416">
        <f>+B36/$J$5</f>
        <v>-22500.869706840393</v>
      </c>
      <c r="D36" s="14">
        <f>+EPFS!D47</f>
        <v>-11892</v>
      </c>
      <c r="E36" s="70">
        <f t="shared" si="1"/>
        <v>-10608.869706840393</v>
      </c>
      <c r="F36" s="411">
        <f>+EPFS!A41</f>
        <v>37110</v>
      </c>
      <c r="G36" s="32"/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92">
        <f>+Agave!$D$24</f>
        <v>-176672.11</v>
      </c>
      <c r="C37" s="417">
        <f>+B37/$J$4</f>
        <v>-60092.554421768706</v>
      </c>
      <c r="D37" s="393">
        <f>+Agave!D31</f>
        <v>-100253</v>
      </c>
      <c r="E37" s="72">
        <f t="shared" si="1"/>
        <v>40160.445578231294</v>
      </c>
      <c r="F37" s="411">
        <f>+Agave!A24</f>
        <v>37109</v>
      </c>
      <c r="G37" s="32"/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184</v>
      </c>
      <c r="B38" s="437">
        <f>SUBTOTAL(9,B24:B37)</f>
        <v>3778359.2499999995</v>
      </c>
      <c r="C38" s="448">
        <f>SUBTOTAL(9,C24:C37)</f>
        <v>1286151.1438986016</v>
      </c>
      <c r="D38" s="449">
        <f>SUBTOTAL(9,D24:D37)</f>
        <v>7359.1768707482843</v>
      </c>
      <c r="E38" s="450">
        <f>SUBTOTAL(9,E24:E37)</f>
        <v>1278791.9670278532</v>
      </c>
      <c r="F38" s="411"/>
      <c r="G38" s="206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185</v>
      </c>
      <c r="B40" s="437">
        <f>SUBTOTAL(9,B12:B37)</f>
        <v>2319218.25</v>
      </c>
      <c r="C40" s="448">
        <f>SUBTOTAL(9,C12:C37)</f>
        <v>787893.3715222358</v>
      </c>
      <c r="D40" s="449">
        <f>SUBTOTAL(9,D12:D37)</f>
        <v>-300661.41863486968</v>
      </c>
      <c r="E40" s="450">
        <f>SUBTOTAL(9,E12:E37)</f>
        <v>1088554.7901571053</v>
      </c>
      <c r="F40" s="411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88"/>
      <c r="B41" s="389"/>
      <c r="C41" s="416"/>
      <c r="D41" s="208"/>
      <c r="E41" s="283"/>
      <c r="F41" s="411"/>
      <c r="G41" s="206"/>
      <c r="H41" s="32"/>
      <c r="I41" s="206"/>
      <c r="J41" s="32"/>
      <c r="K41" s="32"/>
      <c r="L41" s="32"/>
    </row>
    <row r="42" spans="1:12" ht="14.1" customHeight="1" x14ac:dyDescent="0.25">
      <c r="A42" s="445"/>
      <c r="B42" s="446"/>
      <c r="C42" s="447"/>
      <c r="D42" s="304"/>
      <c r="E42" s="304"/>
      <c r="F42" s="304"/>
    </row>
    <row r="43" spans="1:12" ht="12.9" customHeight="1" x14ac:dyDescent="0.25">
      <c r="A43" s="206"/>
      <c r="B43" s="389"/>
      <c r="C43" s="415"/>
      <c r="D43" s="415"/>
      <c r="E43" s="415"/>
      <c r="F43" s="396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146</v>
      </c>
      <c r="D47" s="7"/>
      <c r="I47" s="432" t="s">
        <v>81</v>
      </c>
      <c r="J47" s="435"/>
      <c r="K47" s="32"/>
    </row>
    <row r="48" spans="1:12" ht="13.5" customHeight="1" outlineLevel="2" x14ac:dyDescent="0.25">
      <c r="D48" s="7"/>
      <c r="I48" s="433" t="s">
        <v>30</v>
      </c>
      <c r="J48" s="436">
        <f>+J3</f>
        <v>2.67</v>
      </c>
      <c r="K48" s="457">
        <f ca="1">NOW()</f>
        <v>37111.673716087964</v>
      </c>
    </row>
    <row r="49" spans="1:19" ht="13.5" customHeight="1" outlineLevel="2" x14ac:dyDescent="0.25">
      <c r="A49" s="34" t="s">
        <v>154</v>
      </c>
      <c r="C49" s="34" t="s">
        <v>5</v>
      </c>
      <c r="D49" s="7"/>
      <c r="I49" s="434" t="s">
        <v>31</v>
      </c>
      <c r="J49" s="436">
        <f>+J4</f>
        <v>2.94</v>
      </c>
      <c r="K49" s="32"/>
    </row>
    <row r="50" spans="1:19" ht="13.5" customHeight="1" outlineLevel="1" x14ac:dyDescent="0.25">
      <c r="D50" s="7"/>
      <c r="I50" s="433" t="s">
        <v>120</v>
      </c>
      <c r="J50" s="436">
        <f>+J5</f>
        <v>3.07</v>
      </c>
      <c r="K50" s="32"/>
    </row>
    <row r="51" spans="1:19" ht="13.5" customHeight="1" outlineLevel="2" x14ac:dyDescent="0.25"/>
    <row r="52" spans="1:19" ht="13.5" customHeight="1" outlineLevel="2" x14ac:dyDescent="0.25">
      <c r="A52" s="455" t="s">
        <v>189</v>
      </c>
      <c r="B52" s="456"/>
    </row>
    <row r="53" spans="1:19" ht="13.5" customHeight="1" outlineLevel="2" x14ac:dyDescent="0.25">
      <c r="A53" s="32"/>
      <c r="C53" s="458" t="s">
        <v>175</v>
      </c>
      <c r="D53" s="12" t="s">
        <v>192</v>
      </c>
      <c r="E53" s="12" t="s">
        <v>194</v>
      </c>
      <c r="F53" s="2" t="s">
        <v>164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413" t="s">
        <v>92</v>
      </c>
      <c r="B54" s="454" t="s">
        <v>0</v>
      </c>
      <c r="C54" s="426" t="s">
        <v>191</v>
      </c>
      <c r="D54" s="39" t="s">
        <v>193</v>
      </c>
      <c r="E54" s="39" t="s">
        <v>195</v>
      </c>
      <c r="F54" s="39" t="s">
        <v>155</v>
      </c>
      <c r="G54" s="439" t="s">
        <v>168</v>
      </c>
      <c r="H54" s="414" t="s">
        <v>104</v>
      </c>
      <c r="I54" s="413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413" t="s">
        <v>178</v>
      </c>
      <c r="B56" s="296"/>
      <c r="C56" s="252"/>
    </row>
    <row r="57" spans="1:19" ht="13.5" customHeight="1" outlineLevel="2" x14ac:dyDescent="0.25">
      <c r="A57" s="32" t="s">
        <v>97</v>
      </c>
      <c r="B57" s="415">
        <f>+Mojave!D40</f>
        <v>139423</v>
      </c>
      <c r="C57" s="389">
        <f>+B57*$J$4</f>
        <v>409903.62</v>
      </c>
      <c r="D57" s="47">
        <f>+Mojave!D47</f>
        <v>92782.8</v>
      </c>
      <c r="E57" s="47">
        <f>+C57-D57</f>
        <v>317120.82</v>
      </c>
      <c r="F57" s="412">
        <f>+Mojave!A40</f>
        <v>37110</v>
      </c>
      <c r="H57" s="32" t="s">
        <v>103</v>
      </c>
      <c r="I57" s="32" t="s">
        <v>198</v>
      </c>
      <c r="J57" s="32"/>
      <c r="K57" s="32"/>
    </row>
    <row r="58" spans="1:19" ht="15" customHeight="1" outlineLevel="2" x14ac:dyDescent="0.25">
      <c r="A58" s="32" t="s">
        <v>33</v>
      </c>
      <c r="B58" s="416">
        <f>+SoCal!F40</f>
        <v>116764</v>
      </c>
      <c r="C58" s="389">
        <f>+B58*$J$4</f>
        <v>343286.16</v>
      </c>
      <c r="D58" s="47">
        <f>+SoCal!D47</f>
        <v>365064.7</v>
      </c>
      <c r="E58" s="47">
        <f>+C58-D58</f>
        <v>-21778.540000000037</v>
      </c>
      <c r="F58" s="412">
        <f>+SoCal!A40</f>
        <v>37110</v>
      </c>
      <c r="H58" s="32" t="s">
        <v>105</v>
      </c>
      <c r="I58" s="32"/>
      <c r="J58" s="32"/>
      <c r="K58" s="32"/>
    </row>
    <row r="59" spans="1:19" ht="15" customHeight="1" outlineLevel="1" x14ac:dyDescent="0.25">
      <c r="A59" s="32" t="s">
        <v>117</v>
      </c>
      <c r="B59" s="417">
        <f>+'PG&amp;E'!D40</f>
        <v>25074</v>
      </c>
      <c r="C59" s="392">
        <f>+B59*$J$4</f>
        <v>73717.56</v>
      </c>
      <c r="D59" s="392">
        <f>+'PG&amp;E'!D47</f>
        <v>-155575.94</v>
      </c>
      <c r="E59" s="392">
        <f>+C59-D59</f>
        <v>229293.5</v>
      </c>
      <c r="F59" s="412">
        <f>+'PG&amp;E'!A40</f>
        <v>37110</v>
      </c>
      <c r="H59" s="32" t="s">
        <v>105</v>
      </c>
      <c r="I59" s="32"/>
      <c r="J59" s="32"/>
      <c r="K59" s="32"/>
    </row>
    <row r="60" spans="1:19" ht="15" customHeight="1" x14ac:dyDescent="0.25">
      <c r="A60" s="2" t="s">
        <v>179</v>
      </c>
      <c r="B60" s="448">
        <f>SUBTOTAL(9,B57:B59)</f>
        <v>281261</v>
      </c>
      <c r="C60" s="437">
        <f>SUBTOTAL(9,C57:C59)</f>
        <v>826907.34000000008</v>
      </c>
      <c r="D60" s="437">
        <f>SUBTOTAL(9,D57:D59)</f>
        <v>302271.56</v>
      </c>
      <c r="E60" s="437">
        <f>SUBTOTAL(9,E57:E59)</f>
        <v>524635.78</v>
      </c>
      <c r="F60" s="412"/>
      <c r="H60" s="32"/>
      <c r="I60" s="32"/>
      <c r="J60" s="32"/>
      <c r="K60" s="32"/>
    </row>
    <row r="61" spans="1:19" ht="12.9" customHeight="1" x14ac:dyDescent="0.25">
      <c r="B61" s="296"/>
      <c r="C61" s="252"/>
    </row>
    <row r="62" spans="1:19" ht="15" customHeight="1" x14ac:dyDescent="0.25">
      <c r="A62" s="413" t="s">
        <v>59</v>
      </c>
      <c r="B62" s="296"/>
      <c r="C62" s="252"/>
    </row>
    <row r="63" spans="1:19" x14ac:dyDescent="0.25">
      <c r="A63" s="206" t="s">
        <v>29</v>
      </c>
      <c r="B63" s="415">
        <f>+williams!J40</f>
        <v>308925</v>
      </c>
      <c r="C63" s="389">
        <f>+B63*$J$3</f>
        <v>824829.75</v>
      </c>
      <c r="D63" s="47">
        <f>+williams!D48</f>
        <v>1375682.51</v>
      </c>
      <c r="E63" s="47">
        <f>+C63-D63</f>
        <v>-550852.76</v>
      </c>
      <c r="F63" s="411">
        <f>+williams!A40</f>
        <v>37110</v>
      </c>
      <c r="H63" s="206" t="s">
        <v>153</v>
      </c>
      <c r="I63" s="32" t="s">
        <v>201</v>
      </c>
      <c r="J63" s="32"/>
      <c r="K63" s="32"/>
    </row>
    <row r="64" spans="1:19" x14ac:dyDescent="0.25">
      <c r="A64" s="32" t="s">
        <v>24</v>
      </c>
      <c r="B64" s="415">
        <f>+'Red C'!F43</f>
        <v>137996</v>
      </c>
      <c r="C64" s="390">
        <f>+B64*J3</f>
        <v>368449.32</v>
      </c>
      <c r="D64" s="202">
        <f>+'Red C'!D52</f>
        <v>666806.50999999989</v>
      </c>
      <c r="E64" s="47">
        <f>+C64-D64</f>
        <v>-298357.18999999989</v>
      </c>
      <c r="F64" s="411">
        <f>+'Red C'!B43</f>
        <v>37110</v>
      </c>
      <c r="G64" s="205" t="s">
        <v>170</v>
      </c>
      <c r="H64" s="32" t="s">
        <v>118</v>
      </c>
      <c r="I64" s="32" t="s">
        <v>199</v>
      </c>
      <c r="J64" s="32"/>
      <c r="K64" s="32"/>
    </row>
    <row r="65" spans="1:12" x14ac:dyDescent="0.25">
      <c r="A65" s="32" t="s">
        <v>6</v>
      </c>
      <c r="B65" s="415">
        <f>+Amoco!D40</f>
        <v>88115</v>
      </c>
      <c r="C65" s="389">
        <f>+B65*$J$3</f>
        <v>235267.05</v>
      </c>
      <c r="D65" s="47">
        <f>+Amoco!D47</f>
        <v>500483.81</v>
      </c>
      <c r="E65" s="47">
        <f>+C65-D65</f>
        <v>-265216.76</v>
      </c>
      <c r="F65" s="412">
        <f>+Amoco!A40</f>
        <v>37110</v>
      </c>
      <c r="H65" s="32" t="s">
        <v>118</v>
      </c>
      <c r="I65" s="32" t="s">
        <v>200</v>
      </c>
      <c r="J65" s="32"/>
      <c r="K65" s="32"/>
    </row>
    <row r="66" spans="1:12" x14ac:dyDescent="0.25">
      <c r="A66" s="32" t="s">
        <v>34</v>
      </c>
      <c r="B66" s="415">
        <f>+'El Paso'!H39</f>
        <v>64649</v>
      </c>
      <c r="C66" s="389">
        <f>+'El Paso'!E39*summary!H3+'El Paso'!C39*summary!H4</f>
        <v>189965.46</v>
      </c>
      <c r="D66" s="47">
        <f>+'El Paso'!F46</f>
        <v>-467697.53</v>
      </c>
      <c r="E66" s="47">
        <f>+C66-D66</f>
        <v>657662.99</v>
      </c>
      <c r="F66" s="412">
        <f>+'El Paso'!A39</f>
        <v>37110</v>
      </c>
      <c r="G66" s="252"/>
      <c r="H66" s="32" t="s">
        <v>103</v>
      </c>
      <c r="I66" s="32" t="s">
        <v>202</v>
      </c>
      <c r="J66" s="32"/>
      <c r="K66" s="32"/>
    </row>
    <row r="67" spans="1:12" x14ac:dyDescent="0.25">
      <c r="A67" s="32" t="s">
        <v>1</v>
      </c>
      <c r="B67" s="417">
        <f>+NW!$F$41</f>
        <v>7251</v>
      </c>
      <c r="C67" s="392">
        <f>+B67*$J$3</f>
        <v>19360.169999999998</v>
      </c>
      <c r="D67" s="392">
        <f>+NW!E49</f>
        <v>-482044.48</v>
      </c>
      <c r="E67" s="392">
        <f>+C67-D67</f>
        <v>501404.64999999997</v>
      </c>
      <c r="F67" s="411">
        <f>+NW!B41</f>
        <v>37109</v>
      </c>
      <c r="H67" s="32" t="s">
        <v>118</v>
      </c>
      <c r="I67" s="32"/>
      <c r="J67" s="32"/>
      <c r="K67" s="32"/>
    </row>
    <row r="68" spans="1:12" x14ac:dyDescent="0.25">
      <c r="A68" s="32" t="s">
        <v>180</v>
      </c>
      <c r="B68" s="448">
        <f>SUBTOTAL(9,B63:B67)</f>
        <v>606936</v>
      </c>
      <c r="C68" s="437">
        <f>SUBTOTAL(9,C63:C67)</f>
        <v>1637871.75</v>
      </c>
      <c r="D68" s="437">
        <f>SUBTOTAL(9,D63:D67)</f>
        <v>1593230.82</v>
      </c>
      <c r="E68" s="437">
        <f>SUBTOTAL(9,E63:E67)</f>
        <v>44640.929999999993</v>
      </c>
      <c r="F68" s="411"/>
      <c r="H68" s="32"/>
      <c r="I68" s="32"/>
      <c r="J68" s="32"/>
      <c r="K68" s="32"/>
    </row>
    <row r="69" spans="1:12" x14ac:dyDescent="0.25">
      <c r="B69" s="296"/>
      <c r="C69" s="252"/>
    </row>
    <row r="70" spans="1:12" x14ac:dyDescent="0.25">
      <c r="A70" s="413" t="s">
        <v>182</v>
      </c>
      <c r="B70" s="296"/>
      <c r="C70" s="252"/>
    </row>
    <row r="71" spans="1:12" x14ac:dyDescent="0.25">
      <c r="A71" s="32" t="s">
        <v>91</v>
      </c>
      <c r="B71" s="415">
        <f>+NGPL!F38</f>
        <v>188628</v>
      </c>
      <c r="C71" s="389">
        <f>+B71*$J$4</f>
        <v>554566.31999999995</v>
      </c>
      <c r="D71" s="47">
        <f>+NGPL!D45</f>
        <v>500179.36</v>
      </c>
      <c r="E71" s="47">
        <f>+C71-D71</f>
        <v>54386.959999999963</v>
      </c>
      <c r="F71" s="412">
        <f>+NGPL!A38</f>
        <v>37110</v>
      </c>
      <c r="H71" s="32" t="s">
        <v>118</v>
      </c>
      <c r="I71" s="32"/>
      <c r="J71" s="32"/>
      <c r="K71" s="32"/>
    </row>
    <row r="72" spans="1:12" x14ac:dyDescent="0.25">
      <c r="A72" s="32" t="s">
        <v>149</v>
      </c>
      <c r="B72" s="415">
        <f>+PEPL!D41</f>
        <v>80034</v>
      </c>
      <c r="C72" s="390">
        <f>+B72*$J$4</f>
        <v>235299.96</v>
      </c>
      <c r="D72" s="47">
        <f>+PEPL!D47</f>
        <v>349884.32</v>
      </c>
      <c r="E72" s="47">
        <f>+C72-D72</f>
        <v>-114584.36000000002</v>
      </c>
      <c r="F72" s="412">
        <f>+PEPL!A41</f>
        <v>37109</v>
      </c>
      <c r="H72" s="32" t="s">
        <v>103</v>
      </c>
      <c r="I72" s="32" t="s">
        <v>148</v>
      </c>
      <c r="J72" s="32"/>
      <c r="K72" s="32"/>
    </row>
    <row r="73" spans="1:12" x14ac:dyDescent="0.25">
      <c r="A73" s="32" t="s">
        <v>7</v>
      </c>
      <c r="B73" s="416">
        <f>+Oasis!D40</f>
        <v>40453</v>
      </c>
      <c r="C73" s="389">
        <f>+B73*$J$4</f>
        <v>118931.81999999999</v>
      </c>
      <c r="D73" s="47">
        <f>+Oasis!D47</f>
        <v>-272330.92</v>
      </c>
      <c r="E73" s="47">
        <f>+C73-D73</f>
        <v>391262.74</v>
      </c>
      <c r="F73" s="412">
        <f>+Oasis!B40</f>
        <v>37110</v>
      </c>
      <c r="H73" s="32" t="s">
        <v>105</v>
      </c>
      <c r="I73" s="32"/>
      <c r="J73" s="32"/>
      <c r="K73" s="32"/>
    </row>
    <row r="74" spans="1:12" x14ac:dyDescent="0.25">
      <c r="A74" s="32" t="s">
        <v>32</v>
      </c>
      <c r="B74" s="419">
        <f>+Lonestar!F42</f>
        <v>37049</v>
      </c>
      <c r="C74" s="392">
        <f>+B74*$J$4</f>
        <v>108924.06</v>
      </c>
      <c r="D74" s="392">
        <f>+Lonestar!D49</f>
        <v>-26817.9</v>
      </c>
      <c r="E74" s="392">
        <f>+C74-D74</f>
        <v>135741.96</v>
      </c>
      <c r="F74" s="411">
        <f>+Lonestar!B42</f>
        <v>37110</v>
      </c>
      <c r="H74" s="32" t="s">
        <v>105</v>
      </c>
      <c r="I74" s="32"/>
      <c r="J74" s="32"/>
      <c r="K74" s="32"/>
    </row>
    <row r="75" spans="1:12" x14ac:dyDescent="0.25">
      <c r="A75" s="2" t="s">
        <v>183</v>
      </c>
      <c r="B75" s="438">
        <f>SUBTOTAL(9,B71:B74)</f>
        <v>346164</v>
      </c>
      <c r="C75" s="437">
        <f>SUBTOTAL(9,C71:C74)</f>
        <v>1017722.1599999999</v>
      </c>
      <c r="D75" s="437">
        <f>SUBTOTAL(9,D71:D74)</f>
        <v>550914.86</v>
      </c>
      <c r="E75" s="437">
        <f>SUBTOTAL(9,E71:E74)</f>
        <v>466807.29999999993</v>
      </c>
      <c r="F75" s="411"/>
      <c r="H75" s="32"/>
      <c r="I75" s="32"/>
      <c r="J75" s="32"/>
      <c r="K75" s="32"/>
    </row>
    <row r="76" spans="1:12" x14ac:dyDescent="0.25">
      <c r="B76" s="296"/>
      <c r="C76" s="252"/>
    </row>
    <row r="77" spans="1:12" x14ac:dyDescent="0.25">
      <c r="A77" s="2" t="s">
        <v>190</v>
      </c>
      <c r="B77" s="438">
        <f>SUBTOTAL(9,B57:B74)</f>
        <v>1234361</v>
      </c>
      <c r="C77" s="437">
        <f>SUBTOTAL(9,C57:C74)</f>
        <v>3482501.2499999995</v>
      </c>
      <c r="D77" s="437">
        <f>SUBTOTAL(9,D57:D74)</f>
        <v>2446417.2400000002</v>
      </c>
      <c r="E77" s="437">
        <f>SUBTOTAL(9,E57:E74)</f>
        <v>1036084.0099999999</v>
      </c>
      <c r="F77" s="411"/>
      <c r="H77" s="32"/>
      <c r="I77" s="32"/>
      <c r="J77" s="32"/>
      <c r="K77" s="32"/>
    </row>
    <row r="78" spans="1:12" x14ac:dyDescent="0.25">
      <c r="A78" s="32"/>
      <c r="B78" s="389"/>
      <c r="C78" s="416"/>
      <c r="D78" s="389"/>
      <c r="E78" s="389"/>
      <c r="F78" s="411"/>
      <c r="H78" s="32"/>
      <c r="I78" s="32"/>
      <c r="J78" s="32"/>
      <c r="K78" s="32"/>
    </row>
    <row r="79" spans="1:12" x14ac:dyDescent="0.25">
      <c r="A79" s="32"/>
      <c r="B79" s="392"/>
      <c r="C79" s="415"/>
      <c r="D79" s="304"/>
      <c r="E79" s="304"/>
      <c r="F79" s="411"/>
      <c r="G79" s="32"/>
      <c r="I79" s="32"/>
      <c r="J79" s="32"/>
      <c r="K79" s="32"/>
      <c r="L79" s="32"/>
    </row>
    <row r="80" spans="1:12" ht="13.8" thickBot="1" x14ac:dyDescent="0.3">
      <c r="A80" s="2" t="s">
        <v>196</v>
      </c>
      <c r="B80" s="451">
        <f>+C77+B40</f>
        <v>5801719.5</v>
      </c>
      <c r="C80" s="208"/>
      <c r="D80" s="389"/>
      <c r="E80" s="389"/>
      <c r="F80" s="396"/>
      <c r="H80" s="32"/>
      <c r="I80" s="32"/>
      <c r="J80" s="32"/>
      <c r="K80" s="32"/>
    </row>
    <row r="81" spans="1:10" ht="13.8" thickTop="1" x14ac:dyDescent="0.25">
      <c r="A81" s="2" t="s">
        <v>197</v>
      </c>
      <c r="B81" s="47">
        <f>+B77+C40</f>
        <v>2022254.3715222357</v>
      </c>
      <c r="C81" s="418"/>
      <c r="D81" s="304"/>
      <c r="E81" s="304"/>
      <c r="F81" s="396"/>
      <c r="G81" s="32"/>
      <c r="H81" s="32"/>
      <c r="I81" s="32"/>
      <c r="J81" s="32"/>
    </row>
    <row r="82" spans="1:10" x14ac:dyDescent="0.25">
      <c r="A82" s="32"/>
      <c r="B82" s="47"/>
      <c r="C82" s="420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409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42" sqref="B4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135579</v>
      </c>
      <c r="C8" s="11">
        <v>136569</v>
      </c>
      <c r="D8" s="11">
        <v>13121</v>
      </c>
      <c r="E8" s="11">
        <v>13535</v>
      </c>
      <c r="F8" s="11">
        <f>+C8-B8+E8-D8</f>
        <v>1404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135857</v>
      </c>
      <c r="C11" s="11">
        <v>133237</v>
      </c>
      <c r="D11" s="11">
        <v>12626</v>
      </c>
      <c r="E11" s="11">
        <v>13033</v>
      </c>
      <c r="F11" s="11">
        <f t="shared" si="5"/>
        <v>-2213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133467</v>
      </c>
      <c r="C12" s="11">
        <v>133237</v>
      </c>
      <c r="D12" s="11">
        <v>12524</v>
      </c>
      <c r="E12" s="11">
        <v>13033</v>
      </c>
      <c r="F12" s="11">
        <f t="shared" si="5"/>
        <v>279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133998</v>
      </c>
      <c r="C13" s="11">
        <v>133237</v>
      </c>
      <c r="D13" s="11">
        <v>13160</v>
      </c>
      <c r="E13" s="11">
        <v>13033</v>
      </c>
      <c r="F13" s="11">
        <f t="shared" si="5"/>
        <v>-888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134903</v>
      </c>
      <c r="C14" s="11">
        <v>135829</v>
      </c>
      <c r="D14" s="11">
        <v>13399</v>
      </c>
      <c r="E14" s="11">
        <v>12532</v>
      </c>
      <c r="F14" s="11">
        <f t="shared" si="5"/>
        <v>59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946792</v>
      </c>
      <c r="C39" s="150">
        <f>SUM(C8:C38)</f>
        <v>942234</v>
      </c>
      <c r="D39" s="150">
        <f>SUM(D8:D38)</f>
        <v>90371</v>
      </c>
      <c r="E39" s="150">
        <f>SUM(E8:E38)</f>
        <v>92236</v>
      </c>
      <c r="F39" s="11">
        <f t="shared" si="5"/>
        <v>-2693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373">
        <v>140689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37110</v>
      </c>
      <c r="C43" s="142"/>
      <c r="D43" s="142"/>
      <c r="E43" s="142"/>
      <c r="F43" s="150">
        <f>+F42+F39</f>
        <v>137996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4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176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202">
        <v>673996.82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37110</v>
      </c>
      <c r="B51" s="32"/>
      <c r="C51" s="32"/>
      <c r="D51" s="423">
        <f>+F39*'by type'!J3</f>
        <v>-7190.3099999999995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666806.50999999989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24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2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2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2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-358930</v>
      </c>
      <c r="C36" s="24">
        <f>SUM(C5:C35)</f>
        <v>-358598</v>
      </c>
      <c r="D36" s="24">
        <f t="shared" si="0"/>
        <v>332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369">
        <v>40121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37110</v>
      </c>
      <c r="C40" s="24"/>
      <c r="D40" s="195">
        <f>+D36+D38</f>
        <v>40453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167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202">
        <v>-273307</v>
      </c>
    </row>
    <row r="46" spans="1:65" x14ac:dyDescent="0.25">
      <c r="A46" s="49">
        <f>+B40</f>
        <v>37110</v>
      </c>
      <c r="B46" s="32"/>
      <c r="C46" s="32"/>
      <c r="D46" s="423">
        <f>+D36*'by type'!J4</f>
        <v>976.07999999999993</v>
      </c>
    </row>
    <row r="47" spans="1:65" x14ac:dyDescent="0.25">
      <c r="A47" s="32"/>
      <c r="B47" s="32"/>
      <c r="C47" s="32"/>
      <c r="D47" s="202">
        <f>+D46+D45</f>
        <v>-272330.92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12" workbookViewId="3">
      <selection activeCell="C34" sqref="C34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204125</v>
      </c>
      <c r="C5" s="90">
        <v>208198</v>
      </c>
      <c r="D5" s="90">
        <f>+C5-B5</f>
        <v>4073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185004</v>
      </c>
      <c r="C7" s="90">
        <v>178664</v>
      </c>
      <c r="D7" s="90">
        <f t="shared" si="0"/>
        <v>-6340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255674</v>
      </c>
      <c r="C8" s="90">
        <v>259464</v>
      </c>
      <c r="D8" s="90">
        <f t="shared" si="0"/>
        <v>3790</v>
      </c>
      <c r="E8" s="285"/>
      <c r="F8" s="283"/>
    </row>
    <row r="9" spans="1:13" x14ac:dyDescent="0.25">
      <c r="A9" s="87">
        <v>500293</v>
      </c>
      <c r="B9" s="90">
        <v>86786</v>
      </c>
      <c r="C9" s="90">
        <v>122586</v>
      </c>
      <c r="D9" s="90">
        <f t="shared" si="0"/>
        <v>35800</v>
      </c>
      <c r="E9" s="285"/>
      <c r="F9" s="283"/>
    </row>
    <row r="10" spans="1:13" x14ac:dyDescent="0.25">
      <c r="A10" s="87">
        <v>500302</v>
      </c>
      <c r="B10" s="319"/>
      <c r="C10" s="319">
        <v>2256</v>
      </c>
      <c r="D10" s="90">
        <f t="shared" si="0"/>
        <v>2256</v>
      </c>
      <c r="E10" s="285"/>
      <c r="F10" s="283"/>
    </row>
    <row r="11" spans="1:13" x14ac:dyDescent="0.25">
      <c r="A11" s="87">
        <v>500303</v>
      </c>
      <c r="B11" s="319">
        <v>53949</v>
      </c>
      <c r="C11" s="90">
        <v>66911</v>
      </c>
      <c r="D11" s="90">
        <f t="shared" si="0"/>
        <v>12962</v>
      </c>
      <c r="E11" s="285"/>
      <c r="F11" s="283"/>
    </row>
    <row r="12" spans="1:13" x14ac:dyDescent="0.25">
      <c r="A12" s="91">
        <v>500305</v>
      </c>
      <c r="B12" s="319">
        <v>209771</v>
      </c>
      <c r="C12" s="90">
        <v>266178</v>
      </c>
      <c r="D12" s="90">
        <f t="shared" si="0"/>
        <v>56407</v>
      </c>
      <c r="E12" s="286"/>
      <c r="F12" s="283"/>
    </row>
    <row r="13" spans="1:13" x14ac:dyDescent="0.25">
      <c r="A13" s="87">
        <v>500307</v>
      </c>
      <c r="B13" s="319">
        <v>27421</v>
      </c>
      <c r="C13" s="90">
        <v>29831</v>
      </c>
      <c r="D13" s="90">
        <f t="shared" si="0"/>
        <v>2410</v>
      </c>
      <c r="E13" s="285"/>
      <c r="F13" s="283"/>
    </row>
    <row r="14" spans="1:13" x14ac:dyDescent="0.25">
      <c r="A14" s="87">
        <v>500313</v>
      </c>
      <c r="B14" s="90"/>
      <c r="C14" s="319">
        <v>629</v>
      </c>
      <c r="D14" s="90">
        <f t="shared" si="0"/>
        <v>629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131920</v>
      </c>
      <c r="C16" s="90"/>
      <c r="D16" s="90">
        <f t="shared" si="0"/>
        <v>-131920</v>
      </c>
      <c r="E16" s="285"/>
      <c r="F16" s="283"/>
    </row>
    <row r="17" spans="1:6" x14ac:dyDescent="0.25">
      <c r="A17" s="87">
        <v>500657</v>
      </c>
      <c r="B17" s="335">
        <v>29270</v>
      </c>
      <c r="C17" s="88">
        <v>33000</v>
      </c>
      <c r="D17" s="94">
        <f t="shared" si="0"/>
        <v>3730</v>
      </c>
      <c r="E17" s="285"/>
      <c r="F17" s="283"/>
    </row>
    <row r="18" spans="1:6" x14ac:dyDescent="0.25">
      <c r="A18" s="87"/>
      <c r="B18" s="88"/>
      <c r="C18" s="88"/>
      <c r="D18" s="88">
        <f>SUM(D5:D17)</f>
        <v>-16203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2.94</v>
      </c>
      <c r="E19" s="287"/>
      <c r="F19" s="283"/>
    </row>
    <row r="20" spans="1:6" x14ac:dyDescent="0.25">
      <c r="A20" s="87"/>
      <c r="B20" s="88"/>
      <c r="C20" s="88"/>
      <c r="D20" s="96">
        <f>+D19*D18</f>
        <v>-47636.82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379">
        <v>-129035.29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37109</v>
      </c>
      <c r="B24" s="88"/>
      <c r="C24" s="88"/>
      <c r="D24" s="334">
        <f>+D22+D20</f>
        <v>-176672.11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166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14">
        <v>-84050</v>
      </c>
    </row>
    <row r="30" spans="1:6" x14ac:dyDescent="0.25">
      <c r="A30" s="49">
        <f>+A24</f>
        <v>37109</v>
      </c>
      <c r="B30" s="32"/>
      <c r="C30" s="32"/>
      <c r="D30" s="393">
        <f>+D18</f>
        <v>-16203</v>
      </c>
    </row>
    <row r="31" spans="1:6" x14ac:dyDescent="0.25">
      <c r="A31" s="32"/>
      <c r="B31" s="32"/>
      <c r="C31" s="32"/>
      <c r="D31" s="14">
        <f>+D30+D29</f>
        <v>-100253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C38" sqref="C3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</row>
    <row r="5" spans="1:7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0">+E5+C5-D5-B5</f>
        <v>27</v>
      </c>
      <c r="G5" s="25"/>
    </row>
    <row r="6" spans="1:7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0"/>
        <v>342</v>
      </c>
      <c r="G6" s="25"/>
    </row>
    <row r="7" spans="1:7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0"/>
        <v>4116</v>
      </c>
      <c r="G7" s="25"/>
    </row>
    <row r="8" spans="1:7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0"/>
        <v>5155</v>
      </c>
      <c r="G8" s="25"/>
    </row>
    <row r="9" spans="1:7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0"/>
        <v>-6643</v>
      </c>
      <c r="G9" s="25"/>
    </row>
    <row r="10" spans="1:7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0"/>
        <v>1885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29"/>
      <c r="C13" s="11"/>
      <c r="D13" s="129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247900</v>
      </c>
      <c r="C35" s="11">
        <f>SUM(C4:C34)</f>
        <v>252238</v>
      </c>
      <c r="D35" s="11">
        <f>SUM(D4:D34)</f>
        <v>219895</v>
      </c>
      <c r="E35" s="11">
        <f>SUM(E4:E34)</f>
        <v>219044</v>
      </c>
      <c r="F35" s="11">
        <f>+E35-D35+C35-B35</f>
        <v>3487</v>
      </c>
    </row>
    <row r="36" spans="1:7" x14ac:dyDescent="0.2">
      <c r="A36" s="45"/>
      <c r="C36" s="14">
        <f>+C35-B35</f>
        <v>4338</v>
      </c>
      <c r="D36" s="14"/>
      <c r="E36" s="14">
        <f>+E35-D35</f>
        <v>-851</v>
      </c>
      <c r="F36" s="47"/>
    </row>
    <row r="37" spans="1:7" x14ac:dyDescent="0.2">
      <c r="C37" s="15">
        <f>+summary!H4</f>
        <v>2.94</v>
      </c>
      <c r="D37" s="15"/>
      <c r="E37" s="15">
        <f>+C37</f>
        <v>2.94</v>
      </c>
      <c r="F37" s="24"/>
    </row>
    <row r="38" spans="1:7" x14ac:dyDescent="0.2">
      <c r="C38" s="48">
        <f>+C37*C36</f>
        <v>12753.72</v>
      </c>
      <c r="D38" s="47"/>
      <c r="E38" s="48">
        <f>+E37*E36</f>
        <v>-2501.94</v>
      </c>
      <c r="F38" s="46">
        <f>+E38+C38</f>
        <v>10251.779999999999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378">
        <v>2477990.65</v>
      </c>
      <c r="D40" s="111"/>
      <c r="E40" s="378">
        <v>-1865308.61</v>
      </c>
      <c r="F40" s="353">
        <f>+E40+C40</f>
        <v>612682.0399999998</v>
      </c>
      <c r="G40" s="25"/>
    </row>
    <row r="41" spans="1:7" x14ac:dyDescent="0.2">
      <c r="A41" s="57">
        <v>37110</v>
      </c>
      <c r="C41" s="106">
        <f>+C40+C38</f>
        <v>2490744.37</v>
      </c>
      <c r="D41" s="106"/>
      <c r="E41" s="106">
        <f>+E40+E38</f>
        <v>-1867810.55</v>
      </c>
      <c r="F41" s="106">
        <f>+E41+C41</f>
        <v>622933.82000000007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166</v>
      </c>
      <c r="E45" s="11"/>
      <c r="F45" s="11"/>
      <c r="G45" s="25"/>
    </row>
    <row r="46" spans="1:7" x14ac:dyDescent="0.2">
      <c r="A46" s="49">
        <f>+A40</f>
        <v>37103</v>
      </c>
      <c r="D46" s="14">
        <v>95132</v>
      </c>
      <c r="E46" s="11"/>
      <c r="F46" s="11"/>
      <c r="G46" s="25"/>
    </row>
    <row r="47" spans="1:7" x14ac:dyDescent="0.2">
      <c r="A47" s="49">
        <f>+A41</f>
        <v>37110</v>
      </c>
      <c r="D47" s="393">
        <f>+F35</f>
        <v>3487</v>
      </c>
      <c r="E47" s="11"/>
      <c r="F47" s="11"/>
      <c r="G47" s="25"/>
    </row>
    <row r="48" spans="1:7" x14ac:dyDescent="0.2">
      <c r="D48" s="14">
        <f>+D47+D46</f>
        <v>98619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" workbookViewId="3">
      <selection activeCell="E9" sqref="E9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1049241</v>
      </c>
      <c r="C36" s="11">
        <f>SUM(C5:C35)</f>
        <v>1167361</v>
      </c>
      <c r="D36" s="11">
        <f>SUM(D5:D35)</f>
        <v>0</v>
      </c>
      <c r="E36" s="11">
        <f>SUM(E5:E35)</f>
        <v>-115864</v>
      </c>
      <c r="F36" s="11">
        <f>SUM(F5:F35)</f>
        <v>2256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384">
        <v>4995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37109</v>
      </c>
      <c r="F41" s="354">
        <f>+F39+F36</f>
        <v>7251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167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202">
        <v>-488068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37109</v>
      </c>
      <c r="C48" s="32"/>
      <c r="D48" s="32"/>
      <c r="E48" s="423">
        <f>+F36*'by type'!J3</f>
        <v>6023.5199999999995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-482044.48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9" workbookViewId="3">
      <selection activeCell="C38" sqref="C3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653059</v>
      </c>
      <c r="C39" s="11">
        <f>SUM(C8:C38)</f>
        <v>646598</v>
      </c>
      <c r="D39" s="11">
        <f>SUM(D8:D38)</f>
        <v>-6461</v>
      </c>
      <c r="E39" s="10"/>
      <c r="F39" s="11"/>
      <c r="G39" s="11"/>
      <c r="H39" s="11"/>
    </row>
    <row r="40" spans="1:8" x14ac:dyDescent="0.25">
      <c r="A40" s="26"/>
      <c r="D40" s="75">
        <f>+summary!H4</f>
        <v>2.94</v>
      </c>
      <c r="E40" s="26"/>
      <c r="H40" s="75"/>
    </row>
    <row r="41" spans="1:8" x14ac:dyDescent="0.25">
      <c r="D41" s="197">
        <f>+D40*D39</f>
        <v>-18995.34</v>
      </c>
      <c r="F41" s="252"/>
      <c r="H41" s="197"/>
    </row>
    <row r="42" spans="1:8" x14ac:dyDescent="0.25">
      <c r="A42" s="57">
        <v>37103</v>
      </c>
      <c r="D42" s="383">
        <v>24378</v>
      </c>
      <c r="E42" s="57"/>
      <c r="H42" s="197"/>
    </row>
    <row r="43" spans="1:8" x14ac:dyDescent="0.25">
      <c r="A43" s="57">
        <v>37110</v>
      </c>
      <c r="D43" s="198">
        <f>+D42+D41</f>
        <v>5382.66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166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14">
        <v>-42473</v>
      </c>
    </row>
    <row r="49" spans="1:4" x14ac:dyDescent="0.25">
      <c r="A49" s="49">
        <f>+A43</f>
        <v>37110</v>
      </c>
      <c r="B49" s="32"/>
      <c r="C49" s="32"/>
      <c r="D49" s="393">
        <f>+D39</f>
        <v>-6461</v>
      </c>
    </row>
    <row r="50" spans="1:4" x14ac:dyDescent="0.25">
      <c r="A50" s="32"/>
      <c r="B50" s="32"/>
      <c r="C50" s="32"/>
      <c r="D50" s="14">
        <f>+D49+D48</f>
        <v>-48934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7" workbookViewId="3">
      <selection activeCell="B41" sqref="B4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0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382">
        <v>1133350.6000000001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37109</v>
      </c>
      <c r="J7" s="32"/>
    </row>
    <row r="8" spans="1:10" x14ac:dyDescent="0.25">
      <c r="A8" s="253">
        <v>60874</v>
      </c>
      <c r="B8" s="362">
        <v>1016</v>
      </c>
      <c r="J8" s="32"/>
    </row>
    <row r="9" spans="1:10" x14ac:dyDescent="0.25">
      <c r="A9" s="32">
        <v>500235</v>
      </c>
      <c r="B9" s="14"/>
      <c r="J9" s="32"/>
    </row>
    <row r="10" spans="1:10" x14ac:dyDescent="0.25">
      <c r="A10" s="253">
        <v>500248</v>
      </c>
      <c r="B10" s="364">
        <f>3861-5416</f>
        <v>-1555</v>
      </c>
      <c r="J10" s="32"/>
    </row>
    <row r="11" spans="1:10" x14ac:dyDescent="0.25">
      <c r="A11" s="253">
        <v>500251</v>
      </c>
      <c r="B11" s="332">
        <f>3600-3113</f>
        <v>487</v>
      </c>
      <c r="J11" s="32"/>
    </row>
    <row r="12" spans="1:10" x14ac:dyDescent="0.25">
      <c r="A12" s="253">
        <v>500254</v>
      </c>
      <c r="B12" s="332">
        <f>540-526</f>
        <v>14</v>
      </c>
      <c r="J12" s="32"/>
    </row>
    <row r="13" spans="1:10" x14ac:dyDescent="0.25">
      <c r="A13" s="32">
        <v>500255</v>
      </c>
      <c r="B13" s="332">
        <f>3300-4084</f>
        <v>-784</v>
      </c>
      <c r="J13" s="32"/>
    </row>
    <row r="14" spans="1:10" x14ac:dyDescent="0.25">
      <c r="A14" s="32">
        <v>500262</v>
      </c>
      <c r="B14" s="332">
        <f>2400-1873</f>
        <v>527</v>
      </c>
      <c r="J14" s="32"/>
    </row>
    <row r="15" spans="1:10" x14ac:dyDescent="0.25">
      <c r="A15" s="290">
        <v>500267</v>
      </c>
      <c r="B15" s="363">
        <f>359429-343843</f>
        <v>15586</v>
      </c>
      <c r="J15" s="32"/>
    </row>
    <row r="16" spans="1:10" x14ac:dyDescent="0.25">
      <c r="B16" s="14">
        <f>SUM(B8:B15)</f>
        <v>15291</v>
      </c>
      <c r="J16" s="32"/>
    </row>
    <row r="17" spans="1:10" x14ac:dyDescent="0.25">
      <c r="B17" s="15">
        <f>+B30</f>
        <v>2.94</v>
      </c>
      <c r="C17" s="201">
        <f>+B17*B16</f>
        <v>44955.54</v>
      </c>
      <c r="G17" s="32"/>
      <c r="H17" s="428"/>
      <c r="I17" s="14"/>
      <c r="J17" s="32"/>
    </row>
    <row r="18" spans="1:10" x14ac:dyDescent="0.25">
      <c r="C18" s="339">
        <f>+C17+C5</f>
        <v>1178306.1400000001</v>
      </c>
      <c r="E18" s="15"/>
      <c r="G18" s="32"/>
      <c r="H18" s="428"/>
      <c r="I18" s="14"/>
      <c r="J18" s="32"/>
    </row>
    <row r="19" spans="1:10" x14ac:dyDescent="0.25">
      <c r="E19" s="15"/>
      <c r="G19" s="32"/>
      <c r="H19" s="428"/>
      <c r="I19" s="14"/>
      <c r="J19" s="32"/>
    </row>
    <row r="20" spans="1:10" x14ac:dyDescent="0.25">
      <c r="A20" s="32" t="s">
        <v>89</v>
      </c>
      <c r="G20" s="32"/>
      <c r="H20" s="428"/>
      <c r="I20" s="14"/>
      <c r="J20" s="32"/>
    </row>
    <row r="21" spans="1:10" x14ac:dyDescent="0.25">
      <c r="A21" s="2" t="s">
        <v>76</v>
      </c>
      <c r="G21" s="32"/>
      <c r="H21" s="428"/>
      <c r="I21" s="14"/>
      <c r="J21" s="32"/>
    </row>
    <row r="22" spans="1:10" x14ac:dyDescent="0.25">
      <c r="G22" s="32"/>
      <c r="H22" s="428"/>
      <c r="I22" s="14"/>
      <c r="J22" s="32"/>
    </row>
    <row r="23" spans="1:10" x14ac:dyDescent="0.25">
      <c r="G23" s="32"/>
      <c r="H23" s="428"/>
      <c r="I23" s="14"/>
      <c r="J23" s="32"/>
    </row>
    <row r="24" spans="1:10" x14ac:dyDescent="0.25">
      <c r="A24" s="200">
        <v>37103</v>
      </c>
      <c r="C24" s="382">
        <v>275313.71999999997</v>
      </c>
      <c r="G24" s="32"/>
      <c r="H24" s="15"/>
      <c r="I24" s="14"/>
      <c r="J24" s="32"/>
    </row>
    <row r="25" spans="1:10" x14ac:dyDescent="0.25">
      <c r="F25" s="267"/>
      <c r="G25" s="32"/>
      <c r="H25" s="15"/>
      <c r="I25" s="32"/>
      <c r="J25" s="32"/>
    </row>
    <row r="26" spans="1:10" x14ac:dyDescent="0.25">
      <c r="A26" s="57">
        <v>37109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+summary!H4</f>
        <v>2.94</v>
      </c>
      <c r="C30" s="201">
        <f>+B30*B29</f>
        <v>0</v>
      </c>
    </row>
    <row r="31" spans="1:10" x14ac:dyDescent="0.25">
      <c r="C31" s="339">
        <f>+C30+C24</f>
        <v>275313.71999999997</v>
      </c>
      <c r="E31" s="15"/>
    </row>
    <row r="33" spans="1:9" x14ac:dyDescent="0.25">
      <c r="E33" s="272"/>
    </row>
    <row r="34" spans="1:9" x14ac:dyDescent="0.25">
      <c r="A34" s="32" t="s">
        <v>89</v>
      </c>
      <c r="E34" s="15"/>
    </row>
    <row r="35" spans="1:9" x14ac:dyDescent="0.25">
      <c r="A35" s="32" t="s">
        <v>77</v>
      </c>
      <c r="E35" s="32" t="s">
        <v>166</v>
      </c>
      <c r="F35" s="395">
        <v>24268</v>
      </c>
      <c r="G35" s="395">
        <v>24693</v>
      </c>
      <c r="H35" s="395">
        <v>24361</v>
      </c>
    </row>
    <row r="36" spans="1:9" x14ac:dyDescent="0.25">
      <c r="E36" s="49">
        <f>+A5</f>
        <v>37103</v>
      </c>
      <c r="F36" s="14">
        <v>217918</v>
      </c>
      <c r="G36" s="14">
        <v>117857</v>
      </c>
      <c r="H36" s="14">
        <v>137824</v>
      </c>
      <c r="I36" s="14"/>
    </row>
    <row r="37" spans="1:9" x14ac:dyDescent="0.25">
      <c r="E37" s="49">
        <f>+A7</f>
        <v>37109</v>
      </c>
      <c r="F37" s="393">
        <f>+B16</f>
        <v>15291</v>
      </c>
      <c r="G37" s="393">
        <f>+B29</f>
        <v>0</v>
      </c>
      <c r="H37" s="393">
        <f>+B44</f>
        <v>1906</v>
      </c>
      <c r="I37" s="14"/>
    </row>
    <row r="38" spans="1:9" x14ac:dyDescent="0.25">
      <c r="A38" s="49">
        <v>37103</v>
      </c>
      <c r="C38" s="382">
        <v>728230.37</v>
      </c>
      <c r="F38" s="14">
        <f>+F37+F36</f>
        <v>233209</v>
      </c>
      <c r="G38" s="14">
        <f>+G37+G36</f>
        <v>117857</v>
      </c>
      <c r="H38" s="14">
        <f>+H37+H36</f>
        <v>139730</v>
      </c>
      <c r="I38" s="14">
        <f>+H38+G38+F38</f>
        <v>490796</v>
      </c>
    </row>
    <row r="39" spans="1:9" x14ac:dyDescent="0.25">
      <c r="G39" s="32"/>
      <c r="H39" s="15"/>
      <c r="I39" s="32"/>
    </row>
    <row r="40" spans="1:9" x14ac:dyDescent="0.25">
      <c r="A40" s="249">
        <v>37109</v>
      </c>
      <c r="G40" s="32"/>
      <c r="H40" s="429">
        <v>21665</v>
      </c>
      <c r="I40" s="14">
        <v>36403</v>
      </c>
    </row>
    <row r="41" spans="1:9" x14ac:dyDescent="0.25">
      <c r="A41" s="253">
        <v>500241</v>
      </c>
      <c r="B41" s="14"/>
      <c r="G41" s="32"/>
      <c r="H41" s="429">
        <v>22664</v>
      </c>
      <c r="I41" s="14">
        <v>18932</v>
      </c>
    </row>
    <row r="42" spans="1:9" x14ac:dyDescent="0.25">
      <c r="A42" s="32">
        <v>500391</v>
      </c>
      <c r="B42" s="212">
        <v>1548</v>
      </c>
      <c r="G42" s="32"/>
      <c r="H42" s="429">
        <v>20248</v>
      </c>
      <c r="I42" s="14">
        <v>43064</v>
      </c>
    </row>
    <row r="43" spans="1:9" x14ac:dyDescent="0.25">
      <c r="A43" s="32">
        <v>500392</v>
      </c>
      <c r="B43" s="257">
        <v>358</v>
      </c>
      <c r="G43" s="32"/>
      <c r="H43" s="429">
        <v>25873</v>
      </c>
      <c r="I43" s="14">
        <v>-17</v>
      </c>
    </row>
    <row r="44" spans="1:9" x14ac:dyDescent="0.25">
      <c r="B44" s="14">
        <f>SUM(B41:B43)</f>
        <v>1906</v>
      </c>
      <c r="G44" s="32"/>
      <c r="H44" s="429">
        <v>26758</v>
      </c>
      <c r="I44" s="14">
        <v>-149</v>
      </c>
    </row>
    <row r="45" spans="1:9" x14ac:dyDescent="0.25">
      <c r="B45" s="201">
        <f>+B30</f>
        <v>2.94</v>
      </c>
      <c r="C45" s="201">
        <f>+B45*B44</f>
        <v>5603.64</v>
      </c>
      <c r="H45" s="429">
        <v>26372</v>
      </c>
      <c r="I45" s="14">
        <v>1467</v>
      </c>
    </row>
    <row r="46" spans="1:9" x14ac:dyDescent="0.25">
      <c r="C46" s="339">
        <f>+C45+C38</f>
        <v>733834.01</v>
      </c>
      <c r="E46" s="206"/>
      <c r="H46" s="429">
        <v>26700</v>
      </c>
      <c r="I46" s="14">
        <v>1970</v>
      </c>
    </row>
    <row r="47" spans="1:9" x14ac:dyDescent="0.25">
      <c r="E47" s="216"/>
      <c r="H47" s="429">
        <v>26422</v>
      </c>
      <c r="I47" s="14">
        <v>3940</v>
      </c>
    </row>
    <row r="48" spans="1:9" x14ac:dyDescent="0.25">
      <c r="E48" s="206"/>
      <c r="H48" s="429">
        <v>26661</v>
      </c>
      <c r="I48" s="14">
        <v>28550</v>
      </c>
    </row>
    <row r="49" spans="1:9" x14ac:dyDescent="0.25">
      <c r="C49" s="324"/>
      <c r="E49" s="216"/>
      <c r="H49" s="429">
        <v>27291</v>
      </c>
      <c r="I49" s="14">
        <v>-3361</v>
      </c>
    </row>
    <row r="50" spans="1:9" x14ac:dyDescent="0.25">
      <c r="A50" s="32" t="s">
        <v>89</v>
      </c>
      <c r="C50" s="254"/>
      <c r="H50" s="429">
        <v>27137</v>
      </c>
      <c r="I50" s="14">
        <v>-8</v>
      </c>
    </row>
    <row r="51" spans="1:9" x14ac:dyDescent="0.25">
      <c r="A51" s="32">
        <v>21665</v>
      </c>
      <c r="B51" s="15" t="s">
        <v>142</v>
      </c>
      <c r="C51" s="380">
        <v>73449.16</v>
      </c>
      <c r="D51" s="32" t="s">
        <v>123</v>
      </c>
      <c r="E51" s="50"/>
      <c r="H51" s="211">
        <v>27123</v>
      </c>
      <c r="I51" s="14">
        <v>-1347</v>
      </c>
    </row>
    <row r="52" spans="1:9" x14ac:dyDescent="0.25">
      <c r="A52" s="32">
        <v>22664</v>
      </c>
      <c r="B52" s="15" t="s">
        <v>142</v>
      </c>
      <c r="C52" s="381">
        <v>23612.35</v>
      </c>
      <c r="D52" s="32" t="s">
        <v>124</v>
      </c>
      <c r="H52" s="430"/>
      <c r="I52" s="16">
        <f>SUM(I40:I51)</f>
        <v>129444</v>
      </c>
    </row>
    <row r="53" spans="1:9" x14ac:dyDescent="0.25">
      <c r="A53" s="32">
        <v>20248</v>
      </c>
      <c r="B53" s="15" t="s">
        <v>143</v>
      </c>
      <c r="C53" s="330">
        <v>141061.91</v>
      </c>
      <c r="D53" s="15"/>
      <c r="E53" s="15"/>
      <c r="H53" s="331"/>
      <c r="I53" s="87"/>
    </row>
    <row r="54" spans="1:9" x14ac:dyDescent="0.25">
      <c r="A54" s="32">
        <v>25873</v>
      </c>
      <c r="C54" s="330">
        <v>-259</v>
      </c>
      <c r="D54" s="15"/>
      <c r="H54" s="15"/>
    </row>
    <row r="55" spans="1:9" x14ac:dyDescent="0.25">
      <c r="A55" s="32">
        <v>26758</v>
      </c>
      <c r="C55" s="330">
        <v>-596</v>
      </c>
      <c r="D55" s="15"/>
      <c r="H55" s="15"/>
    </row>
    <row r="56" spans="1:9" x14ac:dyDescent="0.25">
      <c r="A56" s="32">
        <v>26372</v>
      </c>
      <c r="C56" s="330">
        <v>2997.09</v>
      </c>
      <c r="D56" s="15"/>
      <c r="H56" s="15"/>
    </row>
    <row r="57" spans="1:9" x14ac:dyDescent="0.25">
      <c r="A57" s="32">
        <v>26700</v>
      </c>
      <c r="C57" s="330">
        <v>4077.9</v>
      </c>
      <c r="D57" s="15"/>
      <c r="H57" s="331"/>
    </row>
    <row r="58" spans="1:9" x14ac:dyDescent="0.25">
      <c r="A58" s="32">
        <v>26422</v>
      </c>
      <c r="C58" s="330">
        <v>8155.8</v>
      </c>
      <c r="D58" s="15"/>
      <c r="H58" s="47"/>
    </row>
    <row r="59" spans="1:9" x14ac:dyDescent="0.25">
      <c r="A59" s="32">
        <v>26661</v>
      </c>
      <c r="C59" s="330">
        <v>146862.35</v>
      </c>
      <c r="D59" s="15"/>
      <c r="H59" s="342"/>
      <c r="I59" s="32"/>
    </row>
    <row r="60" spans="1:9" x14ac:dyDescent="0.25">
      <c r="A60" s="32">
        <v>27291</v>
      </c>
      <c r="C60" s="330">
        <v>-17965</v>
      </c>
      <c r="D60" s="15"/>
    </row>
    <row r="61" spans="1:9" x14ac:dyDescent="0.25">
      <c r="A61" s="32">
        <v>27137</v>
      </c>
      <c r="C61" s="330">
        <v>-67.28</v>
      </c>
      <c r="D61" s="15"/>
    </row>
    <row r="62" spans="1:9" x14ac:dyDescent="0.25">
      <c r="A62" s="32">
        <v>27123</v>
      </c>
      <c r="C62" s="421">
        <v>-6425.19</v>
      </c>
      <c r="D62" s="15"/>
    </row>
    <row r="63" spans="1:9" x14ac:dyDescent="0.25">
      <c r="C63" s="331">
        <f>+C18+C31+C46+C51+C52+C53+C54+C55+C56+C57+C58+C59+C60+C61+C62</f>
        <v>2562357.9600000004</v>
      </c>
    </row>
    <row r="64" spans="1:9" x14ac:dyDescent="0.25">
      <c r="C64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A58" sqref="A58"/>
    </sheetView>
  </sheetViews>
  <sheetFormatPr defaultRowHeight="13.2" x14ac:dyDescent="0.25"/>
  <cols>
    <col min="3" max="3" width="9.88671875" bestFit="1" customWidth="1"/>
    <col min="6" max="6" width="9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>
        <v>22051</v>
      </c>
      <c r="H1" s="118"/>
    </row>
    <row r="2" spans="1:10" x14ac:dyDescent="0.25">
      <c r="B2" s="12">
        <v>59687</v>
      </c>
      <c r="D2" s="12">
        <v>10703</v>
      </c>
      <c r="E2" s="4"/>
      <c r="F2" s="12">
        <v>78169</v>
      </c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/>
      <c r="G4" s="11"/>
      <c r="H4" s="11">
        <f>+E4+C4-D4-B4+G4-F4</f>
        <v>6733</v>
      </c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/>
      <c r="G5" s="11"/>
      <c r="H5" s="11">
        <f t="shared" ref="H5:H34" si="0">+E5+C5-D5-B5+G5-F5</f>
        <v>9332</v>
      </c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/>
      <c r="G6" s="11"/>
      <c r="H6" s="11">
        <f t="shared" si="0"/>
        <v>2249</v>
      </c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/>
      <c r="G7" s="11"/>
      <c r="H7" s="11">
        <f t="shared" si="0"/>
        <v>2090</v>
      </c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/>
      <c r="G8" s="11"/>
      <c r="H8" s="11">
        <f t="shared" si="0"/>
        <v>-582</v>
      </c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/>
      <c r="G9" s="11"/>
      <c r="H9" s="11">
        <f t="shared" si="0"/>
        <v>-730</v>
      </c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29"/>
      <c r="G10" s="11"/>
      <c r="H10" s="11">
        <f t="shared" si="0"/>
        <v>0</v>
      </c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/>
      <c r="G21" s="11"/>
      <c r="H21" s="11">
        <f t="shared" si="0"/>
        <v>0</v>
      </c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4" x14ac:dyDescent="0.25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32" t="s">
        <v>166</v>
      </c>
      <c r="K33" s="395">
        <v>23995</v>
      </c>
      <c r="L33" s="395">
        <v>22051</v>
      </c>
      <c r="M33" s="395"/>
    </row>
    <row r="34" spans="1:14" x14ac:dyDescent="0.25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49">
        <f>+A39</f>
        <v>37103</v>
      </c>
      <c r="K34" s="14">
        <v>-178485</v>
      </c>
      <c r="L34" s="14">
        <v>-74599</v>
      </c>
      <c r="M34" s="14"/>
      <c r="N34" s="14"/>
    </row>
    <row r="35" spans="1:14" x14ac:dyDescent="0.25">
      <c r="A35" s="10"/>
      <c r="B35" s="11">
        <f t="shared" ref="B35:H35" si="1">SUM(B4:B34)</f>
        <v>0</v>
      </c>
      <c r="C35" s="11">
        <f t="shared" si="1"/>
        <v>0</v>
      </c>
      <c r="D35" s="11">
        <f t="shared" si="1"/>
        <v>128580</v>
      </c>
      <c r="E35" s="11">
        <f t="shared" si="1"/>
        <v>147672</v>
      </c>
      <c r="F35" s="11">
        <f t="shared" si="1"/>
        <v>0</v>
      </c>
      <c r="G35" s="11">
        <f t="shared" si="1"/>
        <v>0</v>
      </c>
      <c r="H35" s="11">
        <f t="shared" si="1"/>
        <v>19092</v>
      </c>
      <c r="I35" s="11"/>
      <c r="J35" s="49">
        <f>+A40</f>
        <v>37109</v>
      </c>
      <c r="K35" s="393">
        <f>+C36</f>
        <v>0</v>
      </c>
      <c r="L35" s="393">
        <f>+G36</f>
        <v>19092</v>
      </c>
      <c r="M35" s="208"/>
      <c r="N35" s="14"/>
    </row>
    <row r="36" spans="1:14" x14ac:dyDescent="0.25">
      <c r="C36" s="25">
        <f>+C35-B35</f>
        <v>0</v>
      </c>
      <c r="E36" s="25"/>
      <c r="G36" s="25">
        <f>+G35-F35+E35-D35</f>
        <v>19092</v>
      </c>
      <c r="H36" s="25"/>
      <c r="J36" s="32"/>
      <c r="K36" s="14">
        <f>+K35+K34</f>
        <v>-178485</v>
      </c>
      <c r="L36" s="14">
        <f>+L35+L34</f>
        <v>-55507</v>
      </c>
      <c r="M36" s="14">
        <f>+L36+K36</f>
        <v>-233992</v>
      </c>
      <c r="N36" s="14"/>
    </row>
    <row r="37" spans="1:14" x14ac:dyDescent="0.25">
      <c r="C37" s="329">
        <f>+summary!H5</f>
        <v>3.07</v>
      </c>
      <c r="E37" s="329"/>
      <c r="G37" s="104">
        <f>+C37</f>
        <v>3.07</v>
      </c>
      <c r="H37" s="329"/>
    </row>
    <row r="38" spans="1:14" x14ac:dyDescent="0.25">
      <c r="C38" s="138">
        <f>+C37*C36</f>
        <v>0</v>
      </c>
      <c r="E38" s="138"/>
      <c r="G38" s="136">
        <f>+G37*G36</f>
        <v>58612.439999999995</v>
      </c>
      <c r="H38" s="138">
        <f>+G38+C38</f>
        <v>58612.439999999995</v>
      </c>
      <c r="L38" s="12">
        <v>22864</v>
      </c>
      <c r="M38" s="14">
        <v>-24566</v>
      </c>
    </row>
    <row r="39" spans="1:14" x14ac:dyDescent="0.25">
      <c r="A39" s="57">
        <v>37103</v>
      </c>
      <c r="B39" s="2" t="s">
        <v>46</v>
      </c>
      <c r="C39" s="375">
        <v>-1023166</v>
      </c>
      <c r="D39" s="338"/>
      <c r="E39" s="375"/>
      <c r="G39" s="375">
        <v>-473640</v>
      </c>
      <c r="H39" s="337">
        <f>+G39+C39</f>
        <v>-1496806</v>
      </c>
      <c r="I39" s="51"/>
      <c r="L39" s="12">
        <v>20379</v>
      </c>
      <c r="M39" s="14">
        <v>2979</v>
      </c>
    </row>
    <row r="40" spans="1:14" x14ac:dyDescent="0.25">
      <c r="A40" s="57">
        <v>37109</v>
      </c>
      <c r="B40" s="2" t="s">
        <v>46</v>
      </c>
      <c r="C40" s="330">
        <f>+C39+C38</f>
        <v>-1023166</v>
      </c>
      <c r="D40" s="259"/>
      <c r="E40" s="330"/>
      <c r="G40" s="330">
        <f>+G39+G38</f>
        <v>-415027.56</v>
      </c>
      <c r="H40" s="330">
        <f>+H39+H38</f>
        <v>-1438193.56</v>
      </c>
      <c r="I40" s="131"/>
      <c r="J40" s="131"/>
      <c r="L40" s="12">
        <v>21459</v>
      </c>
      <c r="M40" s="14">
        <v>6776</v>
      </c>
    </row>
    <row r="41" spans="1:14" x14ac:dyDescent="0.25">
      <c r="C41" s="349"/>
      <c r="D41" s="250"/>
      <c r="E41" s="250"/>
      <c r="H41" s="250"/>
      <c r="I41" s="250"/>
      <c r="J41" s="31"/>
      <c r="L41" s="12">
        <v>26357</v>
      </c>
      <c r="M41" s="14">
        <v>26521</v>
      </c>
    </row>
    <row r="42" spans="1:14" x14ac:dyDescent="0.25">
      <c r="C42" s="250"/>
      <c r="D42" s="250"/>
      <c r="E42" s="250"/>
      <c r="H42" s="272"/>
      <c r="I42" s="250"/>
      <c r="L42" s="12">
        <v>21544</v>
      </c>
      <c r="M42" s="14">
        <v>36108</v>
      </c>
    </row>
    <row r="43" spans="1:14" x14ac:dyDescent="0.25">
      <c r="C43" s="250"/>
      <c r="D43" s="250"/>
      <c r="E43" s="12" t="s">
        <v>115</v>
      </c>
      <c r="H43" s="272"/>
      <c r="I43" s="250"/>
      <c r="L43" s="12">
        <v>24532</v>
      </c>
      <c r="M43" s="14">
        <v>48590</v>
      </c>
    </row>
    <row r="44" spans="1:14" x14ac:dyDescent="0.25">
      <c r="C44" s="250"/>
      <c r="D44" s="250"/>
      <c r="E44" s="12">
        <v>22864</v>
      </c>
      <c r="H44" s="382">
        <v>-58339.66</v>
      </c>
      <c r="I44" s="254" t="s">
        <v>49</v>
      </c>
      <c r="M44" s="14">
        <f>SUM(M36:M43)</f>
        <v>-137584</v>
      </c>
    </row>
    <row r="45" spans="1:14" x14ac:dyDescent="0.25">
      <c r="C45" s="250"/>
      <c r="D45" s="250"/>
      <c r="E45" s="12">
        <v>20379</v>
      </c>
      <c r="H45" s="382">
        <v>-51695.87</v>
      </c>
      <c r="I45" s="254" t="s">
        <v>126</v>
      </c>
      <c r="M45" s="14"/>
    </row>
    <row r="46" spans="1:14" x14ac:dyDescent="0.25">
      <c r="C46" s="250"/>
      <c r="D46" s="250"/>
      <c r="E46" s="12">
        <v>21459</v>
      </c>
      <c r="H46" s="382">
        <v>10570.56</v>
      </c>
      <c r="I46" s="250"/>
      <c r="M46" s="14"/>
    </row>
    <row r="47" spans="1:14" x14ac:dyDescent="0.25">
      <c r="C47" s="250"/>
      <c r="D47" s="250"/>
      <c r="E47" s="12">
        <v>26357</v>
      </c>
      <c r="H47" s="382">
        <v>44144.84</v>
      </c>
      <c r="I47" s="254" t="s">
        <v>127</v>
      </c>
    </row>
    <row r="48" spans="1:14" x14ac:dyDescent="0.25">
      <c r="C48" s="250"/>
      <c r="D48" s="250"/>
      <c r="E48" s="12">
        <v>21544</v>
      </c>
      <c r="H48" s="382">
        <v>61340.160000000003</v>
      </c>
      <c r="I48" s="254" t="s">
        <v>128</v>
      </c>
    </row>
    <row r="49" spans="3:13" x14ac:dyDescent="0.25">
      <c r="C49" s="250"/>
      <c r="D49" s="250"/>
      <c r="E49" s="12">
        <v>24532</v>
      </c>
      <c r="H49" s="381">
        <v>-671608.5</v>
      </c>
      <c r="I49" s="254" t="s">
        <v>125</v>
      </c>
    </row>
    <row r="50" spans="3:13" x14ac:dyDescent="0.25">
      <c r="C50" s="250"/>
      <c r="D50" s="250"/>
      <c r="H50" s="350">
        <f>SUM(H40:H49)</f>
        <v>-2103782.0300000003</v>
      </c>
      <c r="I50" s="250"/>
    </row>
    <row r="51" spans="3:13" x14ac:dyDescent="0.25">
      <c r="C51" s="250"/>
      <c r="D51" s="250"/>
      <c r="H51" s="250"/>
      <c r="I51" s="250"/>
    </row>
    <row r="52" spans="3:13" x14ac:dyDescent="0.25">
      <c r="E52" s="2" t="s">
        <v>144</v>
      </c>
      <c r="H52" s="138">
        <f>+Duke!C63</f>
        <v>2562357.9600000004</v>
      </c>
      <c r="M52" s="14">
        <f>+Duke!I52</f>
        <v>129444</v>
      </c>
    </row>
    <row r="54" spans="3:13" x14ac:dyDescent="0.25">
      <c r="H54" s="104">
        <f>+H52+H50</f>
        <v>458575.93000000017</v>
      </c>
      <c r="M54" s="16">
        <f>+M52+M44</f>
        <v>-8140</v>
      </c>
    </row>
    <row r="60" spans="3:13" x14ac:dyDescent="0.25">
      <c r="H60" s="258"/>
    </row>
    <row r="61" spans="3:13" x14ac:dyDescent="0.25">
      <c r="H61" s="258"/>
    </row>
    <row r="62" spans="3:13" x14ac:dyDescent="0.25">
      <c r="H62" s="258"/>
    </row>
    <row r="63" spans="3:13" x14ac:dyDescent="0.25">
      <c r="H63" s="368"/>
    </row>
    <row r="64" spans="3:13" x14ac:dyDescent="0.25">
      <c r="F64" s="368"/>
    </row>
    <row r="65" spans="6:6" x14ac:dyDescent="0.25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8" workbookViewId="3">
      <selection activeCell="B39" sqref="B39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43514</v>
      </c>
      <c r="C39" s="11">
        <f t="shared" si="1"/>
        <v>36186</v>
      </c>
      <c r="D39" s="11">
        <f t="shared" si="1"/>
        <v>0</v>
      </c>
      <c r="E39" s="11">
        <f t="shared" si="1"/>
        <v>0</v>
      </c>
      <c r="F39" s="11">
        <f t="shared" si="1"/>
        <v>6954</v>
      </c>
      <c r="G39" s="11">
        <f t="shared" si="1"/>
        <v>6900</v>
      </c>
      <c r="H39" s="11">
        <f t="shared" si="1"/>
        <v>8788</v>
      </c>
      <c r="I39" s="11">
        <f t="shared" si="1"/>
        <v>7698</v>
      </c>
      <c r="J39" s="25">
        <f t="shared" si="1"/>
        <v>-8472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2.94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-24907.68</v>
      </c>
      <c r="L41"/>
      <c r="R41" s="138"/>
      <c r="X41" s="138"/>
    </row>
    <row r="42" spans="1:24" x14ac:dyDescent="0.25">
      <c r="A42" s="57">
        <v>37103</v>
      </c>
      <c r="C42" s="15"/>
      <c r="J42" s="372">
        <v>355533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37109</v>
      </c>
      <c r="C43" s="48"/>
      <c r="J43" s="138">
        <f>+J42+J41</f>
        <v>330625.32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166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14">
        <v>140156</v>
      </c>
      <c r="L47"/>
    </row>
    <row r="48" spans="1:24" x14ac:dyDescent="0.25">
      <c r="A48" s="49">
        <f>+A43</f>
        <v>37109</v>
      </c>
      <c r="B48" s="32"/>
      <c r="C48" s="32"/>
      <c r="D48" s="393">
        <f>+J39</f>
        <v>-8472</v>
      </c>
      <c r="L48"/>
    </row>
    <row r="49" spans="1:12" x14ac:dyDescent="0.25">
      <c r="A49" s="32"/>
      <c r="B49" s="32"/>
      <c r="C49" s="32"/>
      <c r="D49" s="14">
        <f>+D48+D47</f>
        <v>131684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72098</v>
      </c>
      <c r="C39" s="11">
        <f>SUM(C8:C38)</f>
        <v>68396</v>
      </c>
      <c r="D39" s="11">
        <f>SUM(D8:D38)</f>
        <v>0</v>
      </c>
      <c r="E39" s="11">
        <f>SUM(E8:E38)</f>
        <v>0</v>
      </c>
      <c r="F39" s="11">
        <f>SUM(F8:F38)</f>
        <v>-3702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-10883.88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376">
        <v>444350.97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37109</v>
      </c>
      <c r="C43" s="48"/>
      <c r="D43" s="48"/>
      <c r="E43" s="48"/>
      <c r="F43" s="110">
        <f>+F42+F41</f>
        <v>433467.08999999997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166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14">
        <v>-234993</v>
      </c>
      <c r="E47" s="11"/>
    </row>
    <row r="48" spans="1:26" x14ac:dyDescent="0.25">
      <c r="A48" s="49">
        <f>+A43</f>
        <v>37109</v>
      </c>
      <c r="B48" s="32"/>
      <c r="C48" s="32"/>
      <c r="D48" s="393">
        <f>+F39</f>
        <v>-3702</v>
      </c>
      <c r="E48" s="11"/>
    </row>
    <row r="49" spans="1:5" x14ac:dyDescent="0.25">
      <c r="A49" s="32"/>
      <c r="B49" s="32"/>
      <c r="C49" s="32"/>
      <c r="D49" s="14">
        <f>+D48+D47</f>
        <v>-238695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41" workbookViewId="2">
      <selection activeCell="B10" sqref="B10"/>
    </sheetView>
    <sheetView workbookViewId="3">
      <selection activeCell="B37" sqref="B37"/>
    </sheetView>
  </sheetViews>
  <sheetFormatPr defaultRowHeight="13.2" x14ac:dyDescent="0.25"/>
  <cols>
    <col min="1" max="1" width="16.44140625" style="295" customWidth="1"/>
    <col min="2" max="2" width="9.88671875" style="252" bestFit="1" customWidth="1"/>
    <col min="3" max="3" width="9.3320312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6" t="s">
        <v>146</v>
      </c>
      <c r="G2" s="410" t="s">
        <v>81</v>
      </c>
      <c r="H2" s="387"/>
    </row>
    <row r="3" spans="1:32" ht="15" customHeight="1" x14ac:dyDescent="0.25">
      <c r="G3" s="299" t="s">
        <v>30</v>
      </c>
      <c r="H3" s="386">
        <f>+'[1]0701'!$K$39</f>
        <v>2.67</v>
      </c>
      <c r="I3" s="422">
        <f ca="1">NOW()</f>
        <v>37111.673716087964</v>
      </c>
    </row>
    <row r="4" spans="1:32" ht="15" customHeight="1" x14ac:dyDescent="0.25">
      <c r="A4" s="34" t="s">
        <v>154</v>
      </c>
      <c r="C4" s="34" t="s">
        <v>5</v>
      </c>
      <c r="G4" s="300" t="s">
        <v>31</v>
      </c>
      <c r="H4" s="301">
        <f>+'[1]0701'!$M$39</f>
        <v>2.94</v>
      </c>
    </row>
    <row r="5" spans="1:32" ht="15" customHeight="1" x14ac:dyDescent="0.25">
      <c r="B5" s="368"/>
      <c r="G5" s="299" t="s">
        <v>120</v>
      </c>
      <c r="H5" s="386">
        <f>+'[1]0701'!$H$39</f>
        <v>3.07</v>
      </c>
    </row>
    <row r="6" spans="1:32" ht="15" customHeight="1" x14ac:dyDescent="0.25"/>
    <row r="7" spans="1:32" ht="15" customHeight="1" x14ac:dyDescent="0.25">
      <c r="A7" s="356" t="s">
        <v>92</v>
      </c>
      <c r="B7" s="357" t="s">
        <v>17</v>
      </c>
      <c r="C7" s="358" t="s">
        <v>0</v>
      </c>
      <c r="D7" s="5" t="s">
        <v>155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5">
      <c r="A8" s="388" t="s">
        <v>29</v>
      </c>
      <c r="B8" s="389">
        <f>+C8*$H$3</f>
        <v>824829.75</v>
      </c>
      <c r="C8" s="285">
        <f>+williams!J40</f>
        <v>308925</v>
      </c>
      <c r="D8" s="411">
        <f>+williams!A40</f>
        <v>37110</v>
      </c>
      <c r="E8" s="206" t="s">
        <v>87</v>
      </c>
      <c r="F8" s="206" t="s">
        <v>153</v>
      </c>
      <c r="G8" s="32" t="s">
        <v>156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89">
        <f>+Conoco!$F$41</f>
        <v>622933.82000000007</v>
      </c>
      <c r="C9" s="285">
        <f>+B9/$H$4</f>
        <v>211882.2517006803</v>
      </c>
      <c r="D9" s="411">
        <f>+Conoco!A41</f>
        <v>37110</v>
      </c>
      <c r="E9" s="32" t="s">
        <v>88</v>
      </c>
      <c r="F9" s="32" t="s">
        <v>116</v>
      </c>
      <c r="G9" s="32" t="s">
        <v>150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88" t="s">
        <v>90</v>
      </c>
      <c r="B10" s="389">
        <f>+NNG!$D$24</f>
        <v>608852.07999999996</v>
      </c>
      <c r="C10" s="285">
        <f>+B10/$H$4</f>
        <v>207092.54421768707</v>
      </c>
      <c r="D10" s="411">
        <f>+NNG!A24</f>
        <v>37109</v>
      </c>
      <c r="E10" s="206" t="s">
        <v>88</v>
      </c>
      <c r="F10" s="206" t="s">
        <v>103</v>
      </c>
      <c r="G10" s="32" t="s">
        <v>151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91</v>
      </c>
      <c r="B11" s="389">
        <f>+C11*$H$4</f>
        <v>554566.31999999995</v>
      </c>
      <c r="C11" s="285">
        <f>+NGPL!F38</f>
        <v>188628</v>
      </c>
      <c r="D11" s="412">
        <f>+NGPL!A38</f>
        <v>37110</v>
      </c>
      <c r="E11" s="32" t="s">
        <v>87</v>
      </c>
      <c r="F11" s="32" t="s">
        <v>118</v>
      </c>
      <c r="G11" s="32" t="s">
        <v>162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89">
        <f>+KN_Westar!F41</f>
        <v>470999.45999999996</v>
      </c>
      <c r="C12" s="285">
        <f>+B12/$H$4</f>
        <v>160203.89795918367</v>
      </c>
      <c r="D12" s="412">
        <f>+KN_Westar!A41</f>
        <v>37110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131</v>
      </c>
      <c r="B13" s="389">
        <f>+DEFS!H54</f>
        <v>458575.93000000017</v>
      </c>
      <c r="C13" s="208">
        <f>+B13/$H$4</f>
        <v>155978.20748299325</v>
      </c>
      <c r="D13" s="412">
        <f>+DEFS!A40</f>
        <v>37109</v>
      </c>
      <c r="E13" s="32" t="s">
        <v>88</v>
      </c>
      <c r="F13" s="32" t="s">
        <v>103</v>
      </c>
      <c r="G13" s="32" t="s">
        <v>121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3</v>
      </c>
      <c r="B14" s="389">
        <f>+'Amoco Abo'!$F$43</f>
        <v>433467.08999999997</v>
      </c>
      <c r="C14" s="285">
        <f>+B14/$H$4</f>
        <v>147437.78571428571</v>
      </c>
      <c r="D14" s="412">
        <f>+'Amoco Abo'!A43</f>
        <v>37109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97</v>
      </c>
      <c r="B15" s="389">
        <f>+C15*$H$4</f>
        <v>409903.62</v>
      </c>
      <c r="C15" s="285">
        <f>+Mojave!D40</f>
        <v>139423</v>
      </c>
      <c r="D15" s="412">
        <f>+Mojave!A40</f>
        <v>37110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3" t="s">
        <v>113</v>
      </c>
      <c r="B16" s="389">
        <f>+CIG!D43</f>
        <v>373165.83999999997</v>
      </c>
      <c r="C16" s="285">
        <f>+B16/$H$4</f>
        <v>126927.15646258503</v>
      </c>
      <c r="D16" s="412">
        <f>+CIG!A43</f>
        <v>37110</v>
      </c>
      <c r="E16" s="32" t="s">
        <v>88</v>
      </c>
      <c r="F16" s="32" t="s">
        <v>116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3" t="s">
        <v>24</v>
      </c>
      <c r="B17" s="390">
        <f>+C17*H4</f>
        <v>405708.24</v>
      </c>
      <c r="C17" s="391">
        <f>+'Red C'!F43</f>
        <v>137996</v>
      </c>
      <c r="D17" s="411">
        <f>+'Red C'!B43</f>
        <v>37110</v>
      </c>
      <c r="E17" s="206" t="s">
        <v>87</v>
      </c>
      <c r="F17" s="32" t="s">
        <v>118</v>
      </c>
      <c r="G17" s="32" t="s">
        <v>159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388" t="s">
        <v>33</v>
      </c>
      <c r="B18" s="389">
        <f>+C18*$H$4</f>
        <v>343286.16</v>
      </c>
      <c r="C18" s="208">
        <f>+SoCal!F40</f>
        <v>116764</v>
      </c>
      <c r="D18" s="411">
        <f>+SoCal!A40</f>
        <v>37110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3" t="s">
        <v>2</v>
      </c>
      <c r="B19" s="389">
        <f>+mewborne!$J$43</f>
        <v>330625.32</v>
      </c>
      <c r="C19" s="285">
        <f>+B19/$H$4</f>
        <v>112457.5918367347</v>
      </c>
      <c r="D19" s="412">
        <f>+mewborne!A43</f>
        <v>37109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3" t="s">
        <v>149</v>
      </c>
      <c r="B20" s="390">
        <f>+C20*$H$4</f>
        <v>235299.96</v>
      </c>
      <c r="C20" s="391">
        <f>+PEPL!D41</f>
        <v>80034</v>
      </c>
      <c r="D20" s="412">
        <f>+PEPL!A41</f>
        <v>37109</v>
      </c>
      <c r="E20" s="32" t="s">
        <v>87</v>
      </c>
      <c r="F20" s="32" t="s">
        <v>103</v>
      </c>
      <c r="G20" s="32" t="s">
        <v>148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3" t="s">
        <v>6</v>
      </c>
      <c r="B21" s="389">
        <f>+C21*$H$3</f>
        <v>235267.05</v>
      </c>
      <c r="C21" s="285">
        <f>+Amoco!D40</f>
        <v>88115</v>
      </c>
      <c r="D21" s="412">
        <f>+Amoco!A40</f>
        <v>37110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3" t="s">
        <v>163</v>
      </c>
      <c r="B22" s="389">
        <f>+PGETX!$H$39</f>
        <v>226886</v>
      </c>
      <c r="C22" s="285">
        <f>+B22/$H$4</f>
        <v>77172.108843537411</v>
      </c>
      <c r="D22" s="412">
        <f>+PGETX!E39</f>
        <v>37109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3" t="s">
        <v>85</v>
      </c>
      <c r="B23" s="389">
        <f>+PNM!$D$23</f>
        <v>193150.71000000002</v>
      </c>
      <c r="C23" s="285">
        <f>+B23/$H$4</f>
        <v>65697.520408163269</v>
      </c>
      <c r="D23" s="412">
        <f>+PNM!A23</f>
        <v>37109</v>
      </c>
      <c r="E23" s="32" t="s">
        <v>88</v>
      </c>
      <c r="F23" s="32" t="s">
        <v>118</v>
      </c>
      <c r="G23" s="32" t="s">
        <v>158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3" t="s">
        <v>34</v>
      </c>
      <c r="B24" s="389">
        <f>+'El Paso'!C39*summary!H4+'El Paso'!E39*summary!H3</f>
        <v>189965.46</v>
      </c>
      <c r="C24" s="285">
        <f>+'El Paso'!H39</f>
        <v>64649</v>
      </c>
      <c r="D24" s="412">
        <f>+'El Paso'!A39</f>
        <v>37110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3" t="s">
        <v>136</v>
      </c>
      <c r="B25" s="389">
        <f>+SidR!D41</f>
        <v>160721.5</v>
      </c>
      <c r="C25" s="285">
        <f>+B25/$H$4</f>
        <v>54667.176870748299</v>
      </c>
      <c r="D25" s="412">
        <f>+SidR!A41</f>
        <v>37110</v>
      </c>
      <c r="E25" s="32" t="s">
        <v>88</v>
      </c>
      <c r="F25" s="32" t="s">
        <v>105</v>
      </c>
      <c r="G25" s="32" t="s">
        <v>160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3" t="s">
        <v>106</v>
      </c>
      <c r="B26" s="389">
        <f>+EOG!J41</f>
        <v>159540.28</v>
      </c>
      <c r="C26" s="285">
        <f>+B26/$H$4</f>
        <v>54265.401360544216</v>
      </c>
      <c r="D26" s="411">
        <f>+EOG!A41</f>
        <v>37109</v>
      </c>
      <c r="E26" s="32" t="s">
        <v>88</v>
      </c>
      <c r="F26" s="32" t="s">
        <v>105</v>
      </c>
      <c r="G26" s="32" t="s">
        <v>157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3" t="s">
        <v>7</v>
      </c>
      <c r="B27" s="389">
        <f>+C27*$H$4</f>
        <v>118931.81999999999</v>
      </c>
      <c r="C27" s="208">
        <f>+Oasis!D40</f>
        <v>40453</v>
      </c>
      <c r="D27" s="412">
        <f>+Oasis!B40</f>
        <v>37110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3" t="s">
        <v>32</v>
      </c>
      <c r="B28" s="389">
        <f>+C28*$H$4</f>
        <v>108924.06</v>
      </c>
      <c r="C28" s="285">
        <f>+Lonestar!F42</f>
        <v>37049</v>
      </c>
      <c r="D28" s="411">
        <f>+Lonestar!B42</f>
        <v>37110</v>
      </c>
      <c r="E28" s="32" t="s">
        <v>87</v>
      </c>
      <c r="F28" s="32" t="s">
        <v>105</v>
      </c>
      <c r="G28" s="32" t="s">
        <v>161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3" t="s">
        <v>117</v>
      </c>
      <c r="B29" s="389">
        <f>+C29*$H$4</f>
        <v>73717.56</v>
      </c>
      <c r="C29" s="208">
        <f>+'PG&amp;E'!D40</f>
        <v>25074</v>
      </c>
      <c r="D29" s="412">
        <f>+'PG&amp;E'!A40</f>
        <v>37110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253" t="s">
        <v>1</v>
      </c>
      <c r="B30" s="389">
        <f>+C30*$H$3</f>
        <v>19360.169999999998</v>
      </c>
      <c r="C30" s="208">
        <f>+NW!$F$41</f>
        <v>7251</v>
      </c>
      <c r="D30" s="411">
        <f>+NW!B41</f>
        <v>37109</v>
      </c>
      <c r="E30" s="32" t="s">
        <v>87</v>
      </c>
      <c r="F30" s="32" t="s">
        <v>118</v>
      </c>
      <c r="G30" s="395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253" t="s">
        <v>74</v>
      </c>
      <c r="B31" s="443">
        <f>+transcol!$D$43</f>
        <v>5382.66</v>
      </c>
      <c r="C31" s="293">
        <f>+B31/$H$4</f>
        <v>1830.8367346938776</v>
      </c>
      <c r="D31" s="412">
        <f>+transcol!A43</f>
        <v>37110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5">
      <c r="A32" s="32" t="s">
        <v>99</v>
      </c>
      <c r="B32" s="47">
        <f>SUM(B8:B31)</f>
        <v>7564060.8599999994</v>
      </c>
      <c r="C32" s="69">
        <f>SUM(C8:C31)</f>
        <v>2609973.4795918376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2"/>
      <c r="B33" s="47"/>
      <c r="C33" s="69"/>
      <c r="D33" s="205"/>
      <c r="E33" s="32"/>
      <c r="F33" s="394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56" t="s">
        <v>92</v>
      </c>
      <c r="B34" s="357" t="s">
        <v>17</v>
      </c>
      <c r="C34" s="358" t="s">
        <v>0</v>
      </c>
      <c r="D34" s="367" t="s">
        <v>155</v>
      </c>
      <c r="E34" s="356" t="s">
        <v>93</v>
      </c>
      <c r="F34" s="359" t="s">
        <v>104</v>
      </c>
      <c r="G34" s="356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88" t="s">
        <v>140</v>
      </c>
      <c r="B35" s="389">
        <f>+Citizens!D18</f>
        <v>-839828.24</v>
      </c>
      <c r="C35" s="208">
        <f>+B35/$H$4</f>
        <v>-285655.86394557822</v>
      </c>
      <c r="D35" s="411">
        <f>+Citizens!A18</f>
        <v>37109</v>
      </c>
      <c r="E35" s="206" t="s">
        <v>88</v>
      </c>
      <c r="F35" s="206" t="s">
        <v>102</v>
      </c>
      <c r="G35" s="395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253" t="s">
        <v>138</v>
      </c>
      <c r="B36" s="389">
        <f>+'NS Steel'!D41</f>
        <v>-415385.86</v>
      </c>
      <c r="C36" s="208">
        <f>+B36/$H$4</f>
        <v>-141287.7074829932</v>
      </c>
      <c r="D36" s="412">
        <f>+'NS Steel'!A41</f>
        <v>37110</v>
      </c>
      <c r="E36" s="32" t="s">
        <v>88</v>
      </c>
      <c r="F36" s="32" t="s">
        <v>103</v>
      </c>
      <c r="G36" s="395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88" t="s">
        <v>82</v>
      </c>
      <c r="B37" s="389">
        <f>+Agave!$D$24</f>
        <v>-176672.11</v>
      </c>
      <c r="C37" s="208">
        <f>+B37/$H$4</f>
        <v>-60092.554421768706</v>
      </c>
      <c r="D37" s="411">
        <f>+Agave!A24</f>
        <v>37109</v>
      </c>
      <c r="E37" s="206" t="s">
        <v>88</v>
      </c>
      <c r="F37" s="206" t="s">
        <v>105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3" t="s">
        <v>145</v>
      </c>
      <c r="B38" s="389">
        <f>+'Citizens-Griffith'!D41</f>
        <v>-151118.18</v>
      </c>
      <c r="C38" s="285">
        <f>+B38/$H$4</f>
        <v>-51400.741496598639</v>
      </c>
      <c r="D38" s="411">
        <f>+'Citizens-Griffith'!A41</f>
        <v>37109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253" t="s">
        <v>134</v>
      </c>
      <c r="B39" s="389">
        <f>+EPFS!D41</f>
        <v>-69077.67</v>
      </c>
      <c r="C39" s="208">
        <f>+B39/$H$5</f>
        <v>-22500.869706840393</v>
      </c>
      <c r="D39" s="411">
        <f>+EPFS!A41</f>
        <v>37110</v>
      </c>
      <c r="E39" s="32" t="s">
        <v>88</v>
      </c>
      <c r="F39" s="32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388" t="s">
        <v>98</v>
      </c>
      <c r="B40" s="389">
        <f>+burlington!D42</f>
        <v>-56731.08</v>
      </c>
      <c r="C40" s="285">
        <f>+B40/$H$3</f>
        <v>-21247.595505617977</v>
      </c>
      <c r="D40" s="411">
        <f>+burlington!A42</f>
        <v>37109</v>
      </c>
      <c r="E40" s="206" t="s">
        <v>88</v>
      </c>
      <c r="F40" s="32" t="s">
        <v>116</v>
      </c>
      <c r="G40" s="32" t="s">
        <v>152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253" t="s">
        <v>112</v>
      </c>
      <c r="B41" s="389">
        <f>+Continental!F43</f>
        <v>-14809</v>
      </c>
      <c r="C41" s="208">
        <f>+B41/$H$4</f>
        <v>-5037.074829931973</v>
      </c>
      <c r="D41" s="412">
        <f>+Continental!A43</f>
        <v>37109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388" t="s">
        <v>132</v>
      </c>
      <c r="B42" s="392">
        <f>+Calpine!D41</f>
        <v>-1460.2999999999956</v>
      </c>
      <c r="C42" s="393">
        <f>+B42/$H$4</f>
        <v>-496.70068027210738</v>
      </c>
      <c r="D42" s="411">
        <f>+Calpine!A41</f>
        <v>37110</v>
      </c>
      <c r="E42" s="206" t="s">
        <v>88</v>
      </c>
      <c r="F42" s="206" t="s">
        <v>102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89">
        <f>SUM(B35:B42)</f>
        <v>-1725082.44</v>
      </c>
      <c r="C43" s="208">
        <f>SUM(C35:C42)</f>
        <v>-587719.10806960112</v>
      </c>
      <c r="D43" s="396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92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97">
        <f>+B43+B32</f>
        <v>5838978.4199999999</v>
      </c>
      <c r="C45" s="398">
        <f>+C43+C32</f>
        <v>2022254.3715222366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99"/>
      <c r="C60" s="400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40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402"/>
      <c r="E66" s="40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40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40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40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40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407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407"/>
      <c r="C72" s="69"/>
      <c r="D72" s="40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408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408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407"/>
      <c r="C75" s="14"/>
      <c r="D75" s="40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407"/>
      <c r="C76" s="69"/>
      <c r="D76" s="40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407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99"/>
      <c r="C78" s="409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5" workbookViewId="3">
      <selection activeCell="C31" sqref="C3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/>
      <c r="C6" s="80"/>
      <c r="D6" s="80">
        <f t="shared" ref="D6:D14" si="0">+C6-B6</f>
        <v>0</v>
      </c>
    </row>
    <row r="7" spans="1:8" x14ac:dyDescent="0.2">
      <c r="A7" s="32">
        <v>3531</v>
      </c>
      <c r="B7" s="323">
        <v>-151832</v>
      </c>
      <c r="C7" s="80">
        <v>-80910</v>
      </c>
      <c r="D7" s="80">
        <f t="shared" si="0"/>
        <v>70922</v>
      </c>
    </row>
    <row r="8" spans="1:8" x14ac:dyDescent="0.2">
      <c r="A8" s="32">
        <v>60667</v>
      </c>
      <c r="B8" s="323"/>
      <c r="C8" s="80"/>
      <c r="D8" s="80">
        <f t="shared" si="0"/>
        <v>0</v>
      </c>
      <c r="H8" s="254"/>
    </row>
    <row r="9" spans="1:8" x14ac:dyDescent="0.2">
      <c r="A9" s="32">
        <v>60749</v>
      </c>
      <c r="B9" s="323">
        <v>202523</v>
      </c>
      <c r="C9" s="80">
        <v>65990</v>
      </c>
      <c r="D9" s="80">
        <f t="shared" si="0"/>
        <v>-136533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-40468</v>
      </c>
    </row>
    <row r="19" spans="1:5" x14ac:dyDescent="0.2">
      <c r="A19" s="32" t="s">
        <v>84</v>
      </c>
      <c r="B19" s="69"/>
      <c r="C19" s="69"/>
      <c r="D19" s="73">
        <f>+summary!H4</f>
        <v>2.94</v>
      </c>
    </row>
    <row r="20" spans="1:5" x14ac:dyDescent="0.2">
      <c r="B20" s="69"/>
      <c r="C20" s="69"/>
      <c r="D20" s="75">
        <f>+D19*D18</f>
        <v>-118975.92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385">
        <v>727828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37109</v>
      </c>
      <c r="B24" s="69"/>
      <c r="C24" s="69"/>
      <c r="D24" s="352">
        <f>+D22+D20</f>
        <v>608852.07999999996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166</v>
      </c>
    </row>
    <row r="32" spans="1:5" x14ac:dyDescent="0.2">
      <c r="A32" s="49">
        <f>+A22</f>
        <v>37103</v>
      </c>
      <c r="D32" s="14">
        <v>88624</v>
      </c>
    </row>
    <row r="33" spans="1:4" x14ac:dyDescent="0.2">
      <c r="A33" s="49">
        <f>+A24</f>
        <v>37109</v>
      </c>
      <c r="D33" s="393">
        <f>+D18</f>
        <v>-40468</v>
      </c>
    </row>
    <row r="34" spans="1:4" x14ac:dyDescent="0.2">
      <c r="D34" s="14">
        <f>+D33+D32</f>
        <v>48156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12" sqref="C12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5">
        <v>-14580</v>
      </c>
      <c r="C5" s="90">
        <v>-9288</v>
      </c>
      <c r="D5" s="90">
        <f t="shared" ref="D5:D13" si="0">+C5-B5</f>
        <v>5292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5">
        <v>-628290</v>
      </c>
      <c r="C7" s="90">
        <v>-713835</v>
      </c>
      <c r="D7" s="90">
        <f t="shared" si="0"/>
        <v>-85545</v>
      </c>
      <c r="E7" s="285"/>
      <c r="F7" s="70"/>
    </row>
    <row r="8" spans="1:13" x14ac:dyDescent="0.25">
      <c r="A8" s="87">
        <v>58710</v>
      </c>
      <c r="B8" s="365">
        <v>-9628</v>
      </c>
      <c r="C8" s="90">
        <v>-264</v>
      </c>
      <c r="D8" s="90">
        <f t="shared" si="0"/>
        <v>9364</v>
      </c>
      <c r="E8" s="285"/>
      <c r="F8" s="70"/>
    </row>
    <row r="9" spans="1:13" x14ac:dyDescent="0.25">
      <c r="A9" s="87">
        <v>60921</v>
      </c>
      <c r="B9" s="319">
        <v>541438</v>
      </c>
      <c r="C9" s="90">
        <v>568366</v>
      </c>
      <c r="D9" s="90">
        <f t="shared" si="0"/>
        <v>26928</v>
      </c>
      <c r="E9" s="285"/>
      <c r="F9" s="70"/>
    </row>
    <row r="10" spans="1:13" x14ac:dyDescent="0.25">
      <c r="A10" s="87">
        <v>78026</v>
      </c>
      <c r="B10" s="365"/>
      <c r="C10" s="90">
        <v>13300</v>
      </c>
      <c r="D10" s="90">
        <f t="shared" si="0"/>
        <v>13300</v>
      </c>
      <c r="E10" s="285"/>
      <c r="F10" s="283"/>
    </row>
    <row r="11" spans="1:13" x14ac:dyDescent="0.25">
      <c r="A11" s="87">
        <v>500084</v>
      </c>
      <c r="B11" s="365">
        <v>-3169</v>
      </c>
      <c r="C11" s="90">
        <v>-6000</v>
      </c>
      <c r="D11" s="90">
        <f t="shared" si="0"/>
        <v>-2831</v>
      </c>
      <c r="E11" s="286"/>
      <c r="F11" s="283"/>
    </row>
    <row r="12" spans="1:13" x14ac:dyDescent="0.25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/>
      <c r="C13" s="90"/>
      <c r="D13" s="90">
        <f t="shared" si="0"/>
        <v>0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-33492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2.94</v>
      </c>
      <c r="E18" s="287"/>
      <c r="F18" s="283"/>
    </row>
    <row r="19" spans="1:7" x14ac:dyDescent="0.25">
      <c r="A19" s="87"/>
      <c r="B19" s="88"/>
      <c r="C19" s="88"/>
      <c r="D19" s="96">
        <f>+D18*D17</f>
        <v>-98466.48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379">
        <v>291617.19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37109</v>
      </c>
      <c r="B23" s="88"/>
      <c r="C23" s="88"/>
      <c r="D23" s="334">
        <f>+D21+D19</f>
        <v>193150.71000000002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166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14">
        <v>65756</v>
      </c>
    </row>
    <row r="29" spans="1:7" x14ac:dyDescent="0.25">
      <c r="A29" s="49">
        <f>+A23</f>
        <v>37109</v>
      </c>
      <c r="B29" s="32"/>
      <c r="C29" s="32"/>
      <c r="D29" s="393">
        <f>+D17</f>
        <v>-33492</v>
      </c>
    </row>
    <row r="30" spans="1:7" x14ac:dyDescent="0.25">
      <c r="A30" s="32"/>
      <c r="B30" s="32"/>
      <c r="C30" s="32"/>
      <c r="D30" s="14">
        <f>+D29+D28</f>
        <v>32264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G13" sqref="G1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5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5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5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5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5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5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5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5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5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5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5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5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5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5">
      <c r="B34" s="297">
        <f>SUM(B3:B33)</f>
        <v>207554</v>
      </c>
      <c r="C34" s="297">
        <f>SUM(C3:C33)</f>
        <v>238748</v>
      </c>
      <c r="D34" s="14">
        <f>SUM(D3:D33)</f>
        <v>0</v>
      </c>
      <c r="E34" s="14">
        <f>SUM(E3:E33)</f>
        <v>0</v>
      </c>
      <c r="F34" s="14">
        <f>SUM(F3:F33)</f>
        <v>31194</v>
      </c>
    </row>
    <row r="35" spans="1:6" x14ac:dyDescent="0.25">
      <c r="D35" s="14"/>
      <c r="E35" s="14"/>
      <c r="F35" s="14"/>
    </row>
    <row r="36" spans="1:6" x14ac:dyDescent="0.25">
      <c r="F36" s="351"/>
    </row>
    <row r="37" spans="1:6" x14ac:dyDescent="0.25">
      <c r="A37" s="263">
        <v>37103</v>
      </c>
      <c r="B37" s="14"/>
      <c r="C37" s="14"/>
      <c r="D37" s="14"/>
      <c r="E37" s="14"/>
      <c r="F37" s="373">
        <v>157434</v>
      </c>
    </row>
    <row r="38" spans="1:6" x14ac:dyDescent="0.25">
      <c r="A38" s="263">
        <v>37110</v>
      </c>
      <c r="B38" s="14"/>
      <c r="C38" s="14"/>
      <c r="D38" s="14"/>
      <c r="E38" s="14"/>
      <c r="F38" s="150">
        <f>+F37+F34</f>
        <v>188628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167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202">
        <v>408469</v>
      </c>
      <c r="F43" s="304"/>
    </row>
    <row r="44" spans="1:6" x14ac:dyDescent="0.25">
      <c r="A44" s="49">
        <f>+A38</f>
        <v>37110</v>
      </c>
      <c r="B44" s="32"/>
      <c r="C44" s="32"/>
      <c r="D44" s="423">
        <f>+F34*'by type'!J4</f>
        <v>91710.36</v>
      </c>
      <c r="F44" s="304"/>
    </row>
    <row r="45" spans="1:6" x14ac:dyDescent="0.25">
      <c r="A45" s="32"/>
      <c r="B45" s="32"/>
      <c r="C45" s="32"/>
      <c r="D45" s="202">
        <f>+D44+D43</f>
        <v>500179.36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6" workbookViewId="3">
      <selection activeCell="C10" sqref="C1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-144229</v>
      </c>
      <c r="C35" s="11">
        <f>SUM(C4:C34)</f>
        <v>-140609</v>
      </c>
      <c r="D35" s="11">
        <f>SUM(D4:D34)</f>
        <v>3620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377">
        <v>135803</v>
      </c>
    </row>
    <row r="39" spans="1:4" x14ac:dyDescent="0.25">
      <c r="A39" s="2"/>
      <c r="D39" s="24"/>
    </row>
    <row r="40" spans="1:4" x14ac:dyDescent="0.25">
      <c r="A40" s="57">
        <v>37110</v>
      </c>
      <c r="D40" s="51">
        <f>+D38+D35</f>
        <v>139423</v>
      </c>
    </row>
    <row r="44" spans="1:4" x14ac:dyDescent="0.25">
      <c r="A44" s="32" t="s">
        <v>167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37110</v>
      </c>
      <c r="B46" s="32"/>
      <c r="C46" s="32"/>
      <c r="D46" s="423">
        <f>+D35*'by type'!J4</f>
        <v>10642.8</v>
      </c>
    </row>
    <row r="47" spans="1:4" x14ac:dyDescent="0.25">
      <c r="A47" s="32"/>
      <c r="B47" s="32"/>
      <c r="C47" s="32"/>
      <c r="D47" s="202">
        <f>+D46+D45</f>
        <v>92782.8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33" workbookViewId="3">
      <selection activeCell="E55" sqref="E5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150252</v>
      </c>
      <c r="C35" s="11">
        <f t="shared" ref="C35:I35" si="1">SUM(C4:C34)</f>
        <v>157473</v>
      </c>
      <c r="D35" s="11">
        <f t="shared" si="1"/>
        <v>56603</v>
      </c>
      <c r="E35" s="11">
        <f t="shared" si="1"/>
        <v>52418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176</v>
      </c>
      <c r="J35" s="11">
        <f>SUM(J4:J34)</f>
        <v>3212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2.94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9443.2800000000007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375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37109</v>
      </c>
      <c r="J41" s="337">
        <f>+J39+J37</f>
        <v>159540.28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166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14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37109</v>
      </c>
      <c r="B47" s="32"/>
      <c r="C47" s="32"/>
      <c r="D47" s="393">
        <f>+J35</f>
        <v>3212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-56810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9" workbookViewId="3">
      <selection activeCell="B46" sqref="B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-79654</v>
      </c>
      <c r="C11" s="24">
        <v>-79090</v>
      </c>
      <c r="D11" s="24"/>
      <c r="E11" s="24"/>
      <c r="F11" s="24">
        <f t="shared" si="0"/>
        <v>564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-110032</v>
      </c>
      <c r="C12" s="24">
        <v>-111234</v>
      </c>
      <c r="D12" s="51"/>
      <c r="E12" s="24"/>
      <c r="F12" s="24">
        <f t="shared" si="0"/>
        <v>-1202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-617331</v>
      </c>
      <c r="C37" s="24">
        <f>SUM(C6:C36)</f>
        <v>-616788</v>
      </c>
      <c r="D37" s="24">
        <f>SUM(D6:D36)</f>
        <v>0</v>
      </c>
      <c r="E37" s="24">
        <f>SUM(E6:E36)</f>
        <v>0</v>
      </c>
      <c r="F37" s="24">
        <f>SUM(F6:F36)</f>
        <v>543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2.94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1596.42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42">
        <v>37103</v>
      </c>
      <c r="E40" s="14"/>
      <c r="F40" s="374">
        <v>469403.04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42">
        <v>37110</v>
      </c>
      <c r="E41" s="14"/>
      <c r="F41" s="104">
        <f>+F40+F39</f>
        <v>470999.45999999996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166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14">
        <v>28896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37110</v>
      </c>
      <c r="B47" s="32"/>
      <c r="C47" s="32"/>
      <c r="D47" s="393">
        <f>+F37</f>
        <v>543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29439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2.94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72">
        <v>-14809</v>
      </c>
    </row>
    <row r="43" spans="1:6" x14ac:dyDescent="0.25">
      <c r="A43" s="57">
        <v>37109</v>
      </c>
      <c r="C43" s="48"/>
      <c r="F43" s="138">
        <f>+F42+F41</f>
        <v>-14809</v>
      </c>
    </row>
    <row r="47" spans="1:6" x14ac:dyDescent="0.25">
      <c r="A47" s="32" t="s">
        <v>166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14">
        <v>-20765</v>
      </c>
    </row>
    <row r="49" spans="1:4" x14ac:dyDescent="0.25">
      <c r="A49" s="49">
        <f>+A43</f>
        <v>37109</v>
      </c>
      <c r="B49" s="32"/>
      <c r="C49" s="32"/>
      <c r="D49" s="393">
        <f>+F39</f>
        <v>0</v>
      </c>
    </row>
    <row r="50" spans="1:4" x14ac:dyDescent="0.25">
      <c r="A50" s="32"/>
      <c r="B50" s="32"/>
      <c r="C50" s="32"/>
      <c r="D50" s="14">
        <f>+D49+D48</f>
        <v>-20765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C40" sqref="C40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37267</v>
      </c>
      <c r="C39" s="11">
        <f>SUM(C8:C38)</f>
        <v>53053</v>
      </c>
      <c r="D39" s="25">
        <f>SUM(D8:D38)</f>
        <v>15786</v>
      </c>
    </row>
    <row r="40" spans="1:4" x14ac:dyDescent="0.25">
      <c r="A40" s="26"/>
      <c r="C40" s="14"/>
      <c r="D40" s="260">
        <f>+summary!H4</f>
        <v>2.94</v>
      </c>
    </row>
    <row r="41" spans="1:4" x14ac:dyDescent="0.25">
      <c r="D41" s="138">
        <f>+D40*D39</f>
        <v>46410.84</v>
      </c>
    </row>
    <row r="42" spans="1:4" x14ac:dyDescent="0.25">
      <c r="A42" s="57">
        <v>37103</v>
      </c>
      <c r="C42" s="15"/>
      <c r="D42" s="372">
        <v>326755</v>
      </c>
    </row>
    <row r="43" spans="1:4" x14ac:dyDescent="0.25">
      <c r="A43" s="57">
        <v>37110</v>
      </c>
      <c r="C43" s="48"/>
      <c r="D43" s="138">
        <f>+D42+D41</f>
        <v>373165.83999999997</v>
      </c>
    </row>
    <row r="46" spans="1:4" x14ac:dyDescent="0.25">
      <c r="A46" s="32" t="s">
        <v>166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37110</v>
      </c>
      <c r="B48" s="32"/>
      <c r="C48" s="32"/>
      <c r="D48" s="393">
        <f>+D39</f>
        <v>15786</v>
      </c>
    </row>
    <row r="49" spans="1:4" x14ac:dyDescent="0.25">
      <c r="A49" s="32"/>
      <c r="B49" s="32"/>
      <c r="C49" s="32"/>
      <c r="D49" s="14">
        <f>+D48+D47</f>
        <v>22075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E37" sqref="E37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-41061</v>
      </c>
      <c r="C8" s="11">
        <v>-50000</v>
      </c>
      <c r="D8" s="25">
        <f t="shared" si="0"/>
        <v>-8939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-41507</v>
      </c>
      <c r="C10" s="11">
        <v>-50000</v>
      </c>
      <c r="D10" s="25">
        <f t="shared" si="0"/>
        <v>-8493</v>
      </c>
    </row>
    <row r="11" spans="1:4" x14ac:dyDescent="0.25">
      <c r="A11" s="10">
        <v>6</v>
      </c>
      <c r="B11" s="11">
        <v>-67166</v>
      </c>
      <c r="C11" s="11">
        <v>-50000</v>
      </c>
      <c r="D11" s="25">
        <f t="shared" si="0"/>
        <v>17166</v>
      </c>
    </row>
    <row r="12" spans="1:4" x14ac:dyDescent="0.25">
      <c r="A12" s="10">
        <v>7</v>
      </c>
      <c r="B12" s="11">
        <v>-78408</v>
      </c>
      <c r="C12" s="11">
        <v>-80300</v>
      </c>
      <c r="D12" s="25">
        <f t="shared" si="0"/>
        <v>-1892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-417939</v>
      </c>
      <c r="C37" s="11">
        <f>SUM(C6:C36)</f>
        <v>-425829</v>
      </c>
      <c r="D37" s="25">
        <f>SUM(D6:D36)</f>
        <v>-7890</v>
      </c>
    </row>
    <row r="38" spans="1:4" x14ac:dyDescent="0.25">
      <c r="A38" s="26"/>
      <c r="C38" s="14"/>
      <c r="D38" s="346">
        <f>+summary!H4</f>
        <v>2.94</v>
      </c>
    </row>
    <row r="39" spans="1:4" x14ac:dyDescent="0.25">
      <c r="D39" s="138">
        <f>+D38*D37</f>
        <v>-23196.6</v>
      </c>
    </row>
    <row r="40" spans="1:4" x14ac:dyDescent="0.25">
      <c r="A40" s="57">
        <v>37103</v>
      </c>
      <c r="C40" s="15"/>
      <c r="D40" s="431">
        <f>51512-16559.7-13216</f>
        <v>21736.300000000003</v>
      </c>
    </row>
    <row r="41" spans="1:4" x14ac:dyDescent="0.25">
      <c r="A41" s="57">
        <v>37110</v>
      </c>
      <c r="C41" s="48"/>
      <c r="D41" s="138">
        <f>+D40+D39</f>
        <v>-1460.2999999999956</v>
      </c>
    </row>
    <row r="44" spans="1:4" x14ac:dyDescent="0.25">
      <c r="A44" s="32" t="s">
        <v>166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14">
        <f>117315-4335-4130</f>
        <v>108850</v>
      </c>
    </row>
    <row r="46" spans="1:4" x14ac:dyDescent="0.25">
      <c r="A46" s="49">
        <f>+A41</f>
        <v>37110</v>
      </c>
      <c r="B46" s="32"/>
      <c r="C46" s="32"/>
      <c r="D46" s="393">
        <f>+D37</f>
        <v>-7890</v>
      </c>
    </row>
    <row r="47" spans="1:4" x14ac:dyDescent="0.25">
      <c r="A47" s="32"/>
      <c r="B47" s="32"/>
      <c r="C47" s="32"/>
      <c r="D47" s="14">
        <f>+D46+D45</f>
        <v>100960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B36" sqref="B36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39521</v>
      </c>
      <c r="C11" s="11">
        <v>38484</v>
      </c>
      <c r="D11" s="25">
        <f t="shared" si="0"/>
        <v>-1037</v>
      </c>
    </row>
    <row r="12" spans="1:4" x14ac:dyDescent="0.25">
      <c r="A12" s="10">
        <v>7</v>
      </c>
      <c r="B12" s="129">
        <v>40825</v>
      </c>
      <c r="C12" s="11">
        <v>38500</v>
      </c>
      <c r="D12" s="25">
        <f t="shared" si="0"/>
        <v>-2325</v>
      </c>
    </row>
    <row r="13" spans="1:4" x14ac:dyDescent="0.25">
      <c r="A13" s="10">
        <v>8</v>
      </c>
      <c r="B13" s="129"/>
      <c r="C13" s="11"/>
      <c r="D13" s="25">
        <f t="shared" si="0"/>
        <v>0</v>
      </c>
    </row>
    <row r="14" spans="1:4" x14ac:dyDescent="0.25">
      <c r="A14" s="10">
        <v>9</v>
      </c>
      <c r="B14" s="129"/>
      <c r="C14" s="11"/>
      <c r="D14" s="25">
        <f t="shared" si="0"/>
        <v>0</v>
      </c>
    </row>
    <row r="15" spans="1:4" x14ac:dyDescent="0.25">
      <c r="A15" s="10">
        <v>10</v>
      </c>
      <c r="B15" s="129"/>
      <c r="C15" s="11"/>
      <c r="D15" s="25">
        <f t="shared" si="0"/>
        <v>0</v>
      </c>
    </row>
    <row r="16" spans="1:4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258198</v>
      </c>
      <c r="C37" s="11">
        <f>SUM(C6:C36)</f>
        <v>248417</v>
      </c>
      <c r="D37" s="25">
        <f>SUM(D6:D36)</f>
        <v>-9781</v>
      </c>
    </row>
    <row r="38" spans="1:4" x14ac:dyDescent="0.25">
      <c r="A38" s="26"/>
      <c r="C38" s="14"/>
      <c r="D38" s="346">
        <f>+summary!H5</f>
        <v>3.07</v>
      </c>
    </row>
    <row r="39" spans="1:4" x14ac:dyDescent="0.25">
      <c r="D39" s="138">
        <f>+D38*D37</f>
        <v>-30027.67</v>
      </c>
    </row>
    <row r="40" spans="1:4" x14ac:dyDescent="0.25">
      <c r="A40" s="57">
        <v>37103</v>
      </c>
      <c r="C40" s="15"/>
      <c r="D40" s="372">
        <v>-39050</v>
      </c>
    </row>
    <row r="41" spans="1:4" x14ac:dyDescent="0.25">
      <c r="A41" s="57">
        <v>37110</v>
      </c>
      <c r="C41" s="48"/>
      <c r="D41" s="138">
        <f>+D40+D39</f>
        <v>-69077.67</v>
      </c>
    </row>
    <row r="44" spans="1:4" x14ac:dyDescent="0.25">
      <c r="A44" s="32" t="s">
        <v>166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14">
        <v>-2111</v>
      </c>
    </row>
    <row r="46" spans="1:4" x14ac:dyDescent="0.25">
      <c r="A46" s="49">
        <f>+A41</f>
        <v>37110</v>
      </c>
      <c r="B46" s="32"/>
      <c r="C46" s="32"/>
      <c r="D46" s="393">
        <f>+D37</f>
        <v>-9781</v>
      </c>
    </row>
    <row r="47" spans="1:4" x14ac:dyDescent="0.25">
      <c r="A47" s="32"/>
      <c r="B47" s="32"/>
      <c r="C47" s="32"/>
      <c r="D47" s="14">
        <f>+D46+D45</f>
        <v>-11892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9" workbookViewId="3">
      <selection activeCell="B34" sqref="B34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307408</v>
      </c>
      <c r="C10" s="11">
        <v>329009</v>
      </c>
      <c r="D10" s="129">
        <v>81561</v>
      </c>
      <c r="E10" s="11">
        <v>62006</v>
      </c>
      <c r="F10" s="129">
        <v>61384</v>
      </c>
      <c r="G10" s="11">
        <v>66177</v>
      </c>
      <c r="H10" s="129">
        <v>128949</v>
      </c>
      <c r="I10" s="11">
        <v>116696</v>
      </c>
      <c r="J10" s="11">
        <f t="shared" si="0"/>
        <v>-5414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2283229</v>
      </c>
      <c r="C35" s="11">
        <f t="shared" ref="C35:I35" si="1">SUM(C4:C34)</f>
        <v>2410674</v>
      </c>
      <c r="D35" s="11">
        <f t="shared" si="1"/>
        <v>517636</v>
      </c>
      <c r="E35" s="11">
        <f t="shared" si="1"/>
        <v>417370</v>
      </c>
      <c r="F35" s="11">
        <f t="shared" si="1"/>
        <v>441088</v>
      </c>
      <c r="G35" s="11">
        <f t="shared" si="1"/>
        <v>435751</v>
      </c>
      <c r="H35" s="11">
        <f t="shared" si="1"/>
        <v>883880</v>
      </c>
      <c r="I35" s="11">
        <f t="shared" si="1"/>
        <v>860691</v>
      </c>
      <c r="J35" s="11">
        <f>SUM(J4:J34)</f>
        <v>-1347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369">
        <v>310272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37110</v>
      </c>
      <c r="J40" s="51">
        <f>+J38+J35</f>
        <v>308925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167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202">
        <v>1379279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+A40</f>
        <v>37110</v>
      </c>
      <c r="B47" s="32"/>
      <c r="C47" s="32"/>
      <c r="D47" s="423">
        <f>+J35*'by type'!J3</f>
        <v>-3596.49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1375682.51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424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425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6" sqref="C36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421526</v>
      </c>
      <c r="C37" s="11">
        <f>SUM(C6:C36)</f>
        <v>419176</v>
      </c>
      <c r="D37" s="25">
        <f>SUM(D6:D36)</f>
        <v>-2350</v>
      </c>
    </row>
    <row r="38" spans="1:4" x14ac:dyDescent="0.25">
      <c r="A38" s="26"/>
      <c r="C38" s="14"/>
      <c r="D38" s="346">
        <f>+summary!H5</f>
        <v>3.07</v>
      </c>
    </row>
    <row r="39" spans="1:4" x14ac:dyDescent="0.25">
      <c r="D39" s="138">
        <f>+D38*D37</f>
        <v>-7214.5</v>
      </c>
    </row>
    <row r="40" spans="1:4" x14ac:dyDescent="0.25">
      <c r="A40" s="57">
        <v>37103</v>
      </c>
      <c r="C40" s="15"/>
      <c r="D40" s="372">
        <v>167936</v>
      </c>
    </row>
    <row r="41" spans="1:4" x14ac:dyDescent="0.25">
      <c r="A41" s="57">
        <v>37110</v>
      </c>
      <c r="C41" s="48"/>
      <c r="D41" s="138">
        <f>+D40+D39</f>
        <v>160721.5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workbookViewId="0"/>
    <sheetView workbookViewId="1"/>
    <sheetView topLeftCell="A26" workbookViewId="2">
      <selection activeCell="D40" sqref="D40"/>
    </sheetView>
    <sheetView topLeftCell="A8" workbookViewId="3">
      <selection activeCell="C13" sqref="C13"/>
    </sheetView>
  </sheetViews>
  <sheetFormatPr defaultRowHeight="13.2" x14ac:dyDescent="0.25"/>
  <sheetData>
    <row r="3" spans="1:5" ht="13.8" x14ac:dyDescent="0.25">
      <c r="A3" s="134"/>
      <c r="B3" s="3" t="s">
        <v>138</v>
      </c>
      <c r="C3" s="87"/>
      <c r="D3" s="87"/>
      <c r="E3" s="87"/>
    </row>
    <row r="4" spans="1:5" x14ac:dyDescent="0.25">
      <c r="A4" s="3"/>
      <c r="B4" s="348" t="s">
        <v>139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5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5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5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5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5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5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5" x14ac:dyDescent="0.25">
      <c r="A13" s="10">
        <v>8</v>
      </c>
      <c r="B13" s="11"/>
      <c r="C13" s="11"/>
      <c r="D13" s="25">
        <f t="shared" si="0"/>
        <v>0</v>
      </c>
    </row>
    <row r="14" spans="1:5" x14ac:dyDescent="0.25">
      <c r="A14" s="10">
        <v>9</v>
      </c>
      <c r="B14" s="11"/>
      <c r="C14" s="11"/>
      <c r="D14" s="25">
        <f t="shared" si="0"/>
        <v>0</v>
      </c>
    </row>
    <row r="15" spans="1:5" x14ac:dyDescent="0.25">
      <c r="A15" s="10">
        <v>10</v>
      </c>
      <c r="B15" s="11"/>
      <c r="C15" s="11"/>
      <c r="D15" s="25">
        <f t="shared" si="0"/>
        <v>0</v>
      </c>
    </row>
    <row r="16" spans="1:5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-9110</v>
      </c>
      <c r="C37" s="11">
        <f>SUM(C6:C36)</f>
        <v>-16229</v>
      </c>
      <c r="D37" s="25">
        <f>SUM(D6:D36)</f>
        <v>-7119</v>
      </c>
    </row>
    <row r="38" spans="1:4" x14ac:dyDescent="0.25">
      <c r="A38" s="26"/>
      <c r="C38" s="14"/>
      <c r="D38" s="346">
        <f>+summary!H4</f>
        <v>2.94</v>
      </c>
    </row>
    <row r="39" spans="1:4" x14ac:dyDescent="0.25">
      <c r="D39" s="138">
        <f>+D38*D37</f>
        <v>-20929.86</v>
      </c>
    </row>
    <row r="40" spans="1:4" x14ac:dyDescent="0.25">
      <c r="A40" s="57">
        <v>37103</v>
      </c>
      <c r="C40" s="15"/>
      <c r="D40" s="372">
        <v>-394456</v>
      </c>
    </row>
    <row r="41" spans="1:4" x14ac:dyDescent="0.25">
      <c r="A41" s="57">
        <v>37110</v>
      </c>
      <c r="C41" s="48"/>
      <c r="D41" s="138">
        <f>+D40+D39</f>
        <v>-415385.86</v>
      </c>
    </row>
    <row r="47" spans="1:4" x14ac:dyDescent="0.25">
      <c r="A47" s="32" t="s">
        <v>166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14">
        <v>-67276</v>
      </c>
    </row>
    <row r="49" spans="1:4" x14ac:dyDescent="0.25">
      <c r="A49" s="49">
        <f>+A41</f>
        <v>37110</v>
      </c>
      <c r="B49" s="32"/>
      <c r="C49" s="32"/>
      <c r="D49" s="393">
        <f>+D37</f>
        <v>-7119</v>
      </c>
    </row>
    <row r="50" spans="1:4" x14ac:dyDescent="0.25">
      <c r="A50" s="32"/>
      <c r="B50" s="32"/>
      <c r="C50" s="32"/>
      <c r="D50" s="14">
        <f>+D49+D48</f>
        <v>-74395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8" workbookViewId="3">
      <selection activeCell="C13" sqref="C1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48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-115</v>
      </c>
      <c r="D6" s="25">
        <f>+C6-B6</f>
        <v>-115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>
        <v>-4</v>
      </c>
      <c r="D8" s="25">
        <f t="shared" si="0"/>
        <v>-4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-97069</v>
      </c>
      <c r="C12" s="11">
        <v>-108756</v>
      </c>
      <c r="D12" s="25">
        <f t="shared" si="0"/>
        <v>-11687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-276360</v>
      </c>
      <c r="C37" s="11">
        <f>SUM(C6:C36)</f>
        <v>-207957</v>
      </c>
      <c r="D37" s="25">
        <f>SUM(D6:D36)</f>
        <v>68403</v>
      </c>
    </row>
    <row r="38" spans="1:4" x14ac:dyDescent="0.25">
      <c r="A38" s="26"/>
      <c r="C38" s="14"/>
      <c r="D38" s="346">
        <f>+summary!H4</f>
        <v>2.94</v>
      </c>
    </row>
    <row r="39" spans="1:4" x14ac:dyDescent="0.25">
      <c r="D39" s="138">
        <f>+D38*D37</f>
        <v>201104.82</v>
      </c>
    </row>
    <row r="40" spans="1:4" x14ac:dyDescent="0.25">
      <c r="A40" s="57">
        <v>37103</v>
      </c>
      <c r="C40" s="15"/>
      <c r="D40" s="372">
        <v>-352223</v>
      </c>
    </row>
    <row r="41" spans="1:4" x14ac:dyDescent="0.25">
      <c r="A41" s="57">
        <v>37109</v>
      </c>
      <c r="C41" s="48"/>
      <c r="D41" s="138">
        <f>+D40+D39</f>
        <v>-151118.18</v>
      </c>
    </row>
    <row r="42" spans="1:4" x14ac:dyDescent="0.25">
      <c r="D42" s="24"/>
    </row>
    <row r="45" spans="1:4" x14ac:dyDescent="0.25">
      <c r="A45" s="32" t="s">
        <v>166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14">
        <v>-150667</v>
      </c>
    </row>
    <row r="47" spans="1:4" x14ac:dyDescent="0.25">
      <c r="A47" s="49">
        <f>+A41</f>
        <v>37109</v>
      </c>
      <c r="B47" s="32"/>
      <c r="C47" s="32"/>
      <c r="D47" s="393">
        <f>+D37</f>
        <v>68403</v>
      </c>
    </row>
    <row r="48" spans="1:4" x14ac:dyDescent="0.25">
      <c r="A48" s="32"/>
      <c r="B48" s="32"/>
      <c r="C48" s="32"/>
      <c r="D48" s="14">
        <f>+D47+D46</f>
        <v>-82264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5" sqref="B5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3">
        <v>-6246</v>
      </c>
      <c r="C5" s="90">
        <v>-702</v>
      </c>
      <c r="D5" s="90">
        <f>+C5-B5</f>
        <v>5544</v>
      </c>
      <c r="E5" s="285"/>
      <c r="F5" s="283"/>
    </row>
    <row r="6" spans="1:13" x14ac:dyDescent="0.25">
      <c r="A6" s="87">
        <v>500046</v>
      </c>
      <c r="B6" s="90">
        <v>-129</v>
      </c>
      <c r="C6" s="90"/>
      <c r="D6" s="90">
        <f t="shared" ref="D6:D11" si="0">+C6-B6</f>
        <v>129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5673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2.94</v>
      </c>
      <c r="E13" s="287"/>
      <c r="F13" s="283"/>
    </row>
    <row r="14" spans="1:13" x14ac:dyDescent="0.25">
      <c r="A14" s="87"/>
      <c r="B14" s="88"/>
      <c r="C14" s="88"/>
      <c r="D14" s="96">
        <f>+D13*D12</f>
        <v>16678.62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379">
        <v>-856506.86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37109</v>
      </c>
      <c r="B18" s="88"/>
      <c r="C18" s="88"/>
      <c r="D18" s="334">
        <f>+D16+D14</f>
        <v>-839828.24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166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14">
        <v>-187813</v>
      </c>
    </row>
    <row r="23" spans="1:7" x14ac:dyDescent="0.25">
      <c r="A23" s="49">
        <f>+A18</f>
        <v>37109</v>
      </c>
      <c r="B23" s="32"/>
      <c r="C23" s="32"/>
      <c r="D23" s="393">
        <f>+D12</f>
        <v>5673</v>
      </c>
    </row>
    <row r="24" spans="1:7" x14ac:dyDescent="0.25">
      <c r="A24" s="32"/>
      <c r="B24" s="32"/>
      <c r="C24" s="32"/>
      <c r="D24" s="14">
        <f>+D23+D22</f>
        <v>-182140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2" workbookViewId="3">
      <selection activeCell="C35" sqref="C35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-9472</v>
      </c>
      <c r="D37" s="25">
        <f>SUM(D6:D36)</f>
        <v>-9472</v>
      </c>
    </row>
    <row r="38" spans="1:4" x14ac:dyDescent="0.25">
      <c r="A38" s="26"/>
      <c r="C38" s="14"/>
      <c r="D38" s="361"/>
    </row>
    <row r="39" spans="1:4" x14ac:dyDescent="0.25">
      <c r="D39" s="138"/>
    </row>
    <row r="40" spans="1:4" x14ac:dyDescent="0.25">
      <c r="A40" s="57">
        <v>37103</v>
      </c>
      <c r="C40" s="15"/>
      <c r="D40" s="369">
        <v>89506</v>
      </c>
    </row>
    <row r="41" spans="1:4" x14ac:dyDescent="0.25">
      <c r="A41" s="57">
        <v>37109</v>
      </c>
      <c r="C41" s="48"/>
      <c r="D41" s="25">
        <f>+D40+D37</f>
        <v>80034</v>
      </c>
    </row>
    <row r="44" spans="1:4" x14ac:dyDescent="0.25">
      <c r="A44" s="32" t="s">
        <v>167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202">
        <v>377732</v>
      </c>
    </row>
    <row r="46" spans="1:4" x14ac:dyDescent="0.25">
      <c r="A46" s="49">
        <f>+A41</f>
        <v>37109</v>
      </c>
      <c r="B46" s="32"/>
      <c r="C46" s="32"/>
      <c r="D46" s="423">
        <f>+D37*'by type'!J4</f>
        <v>-27847.68</v>
      </c>
    </row>
    <row r="47" spans="1:4" x14ac:dyDescent="0.25">
      <c r="A47" s="32"/>
      <c r="B47" s="32"/>
      <c r="C47" s="32"/>
      <c r="D47" s="202">
        <f>+D46+D45</f>
        <v>349884.32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711947</v>
      </c>
      <c r="C38" s="11">
        <f>SUM(C7:C37)</f>
        <v>704423</v>
      </c>
      <c r="D38" s="11">
        <f>SUM(D7:D37)</f>
        <v>-7524</v>
      </c>
    </row>
    <row r="39" spans="1:4" x14ac:dyDescent="0.25">
      <c r="A39" s="26"/>
      <c r="C39" s="14"/>
      <c r="D39" s="106">
        <f>+summary!H3</f>
        <v>2.67</v>
      </c>
    </row>
    <row r="40" spans="1:4" x14ac:dyDescent="0.25">
      <c r="D40" s="138">
        <f>+D39*D38</f>
        <v>-20089.079999999998</v>
      </c>
    </row>
    <row r="41" spans="1:4" x14ac:dyDescent="0.25">
      <c r="A41" s="57">
        <v>37103</v>
      </c>
      <c r="C41" s="15"/>
      <c r="D41" s="381">
        <v>-36642</v>
      </c>
    </row>
    <row r="42" spans="1:4" x14ac:dyDescent="0.25">
      <c r="A42" s="57">
        <v>37109</v>
      </c>
      <c r="D42" s="337">
        <f>+D41+D40</f>
        <v>-56731.08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E35" sqref="E3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-318781</v>
      </c>
      <c r="C36" s="44">
        <f>SUM(C5:C35)</f>
        <v>-79500</v>
      </c>
      <c r="D36" s="43">
        <f>SUM(D5:D35)</f>
        <v>-90</v>
      </c>
      <c r="E36" s="44">
        <f>SUM(E5:E35)</f>
        <v>-232406</v>
      </c>
      <c r="F36" s="11">
        <f>SUM(F5:F35)</f>
        <v>6965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-239281</v>
      </c>
      <c r="D37" s="24"/>
      <c r="E37" s="24">
        <f>+D36-E36</f>
        <v>232316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377">
        <v>30084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37110</v>
      </c>
      <c r="C42" s="14"/>
      <c r="D42" s="50"/>
      <c r="E42" s="50"/>
      <c r="F42" s="51">
        <f>+F41+F36</f>
        <v>37049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167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-47295</v>
      </c>
    </row>
    <row r="48" spans="1:12" x14ac:dyDescent="0.25">
      <c r="A48" s="49">
        <f>+B42</f>
        <v>37110</v>
      </c>
      <c r="B48" s="32"/>
      <c r="C48" s="32"/>
      <c r="D48" s="423">
        <f>+F36*'by type'!J4</f>
        <v>20477.099999999999</v>
      </c>
    </row>
    <row r="49" spans="1:4" x14ac:dyDescent="0.25">
      <c r="A49" s="32"/>
      <c r="B49" s="32"/>
      <c r="C49" s="32"/>
      <c r="D49" s="202">
        <f>+D48+D47</f>
        <v>-26817.9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B34" sqref="B34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-1318627</v>
      </c>
      <c r="C35" s="11">
        <f>SUM(C4:C34)</f>
        <v>-1318478</v>
      </c>
      <c r="D35" s="11">
        <f>SUM(D4:D34)</f>
        <v>149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377">
        <v>24925</v>
      </c>
    </row>
    <row r="39" spans="1:30" x14ac:dyDescent="0.25">
      <c r="A39" s="12"/>
      <c r="D39" s="24"/>
    </row>
    <row r="40" spans="1:30" x14ac:dyDescent="0.25">
      <c r="A40" s="249">
        <v>37110</v>
      </c>
      <c r="D40" s="24">
        <f>+D38+D35</f>
        <v>25074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167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202">
        <v>-156014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37110</v>
      </c>
      <c r="B46" s="32"/>
      <c r="C46" s="32"/>
      <c r="D46" s="423">
        <f>+D35*'by type'!J4</f>
        <v>438.06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-155575.94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7" workbookViewId="3">
      <selection activeCell="A40" sqref="A40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-5217744</v>
      </c>
      <c r="C35" s="11">
        <f>SUM(C4:C34)</f>
        <v>-5247123</v>
      </c>
      <c r="D35" s="11">
        <f>SUM(D4:D34)</f>
        <v>-155834</v>
      </c>
      <c r="E35" s="11">
        <f>SUM(E4:E34)</f>
        <v>-155000</v>
      </c>
      <c r="F35" s="11">
        <f>SUM(F4:F34)</f>
        <v>-28545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373">
        <v>145309</v>
      </c>
    </row>
    <row r="39" spans="1:45" x14ac:dyDescent="0.25">
      <c r="A39" s="2"/>
      <c r="F39" s="24"/>
    </row>
    <row r="40" spans="1:45" x14ac:dyDescent="0.25">
      <c r="A40" s="57">
        <v>37110</v>
      </c>
      <c r="F40" s="51">
        <f>+F38+F35</f>
        <v>116764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167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202">
        <v>448987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37110</v>
      </c>
      <c r="B46" s="32"/>
      <c r="C46" s="32"/>
      <c r="D46" s="423">
        <f>+F35*'by type'!J4</f>
        <v>-83922.3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365064.7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D39" sqref="D3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+B4+D4+F4-C4-E4-G4</f>
        <v>-25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+B5+D5+F5-C5-E5-G5</f>
        <v>386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-1352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-1121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-151712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-626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-154996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-1012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-847873</v>
      </c>
      <c r="C35" s="44">
        <f t="shared" si="1"/>
        <v>-699950</v>
      </c>
      <c r="D35" s="11">
        <f t="shared" si="1"/>
        <v>-282137</v>
      </c>
      <c r="E35" s="44">
        <f t="shared" si="1"/>
        <v>-426310</v>
      </c>
      <c r="F35" s="11">
        <f t="shared" si="1"/>
        <v>0</v>
      </c>
      <c r="G35" s="11">
        <f t="shared" si="1"/>
        <v>0</v>
      </c>
      <c r="H35" s="11">
        <f t="shared" si="1"/>
        <v>-3750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-11025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237911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37109</v>
      </c>
      <c r="F39" s="47"/>
      <c r="G39" s="47"/>
      <c r="H39" s="137">
        <f>+H38+H37</f>
        <v>226886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166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30760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37109</v>
      </c>
      <c r="E47" s="393">
        <f>+H35</f>
        <v>-3750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27010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9" workbookViewId="3">
      <selection activeCell="E35" sqref="E35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-1854176</v>
      </c>
      <c r="E36" s="11">
        <f t="shared" si="15"/>
        <v>-1875835</v>
      </c>
      <c r="F36" s="11">
        <f t="shared" si="15"/>
        <v>0</v>
      </c>
      <c r="G36" s="11">
        <f t="shared" si="15"/>
        <v>0</v>
      </c>
      <c r="H36" s="11">
        <f t="shared" si="15"/>
        <v>-21659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-21659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370">
        <v>64269</v>
      </c>
      <c r="D38" s="338"/>
      <c r="E38" s="371">
        <v>22039</v>
      </c>
      <c r="F38" s="24"/>
      <c r="G38" s="24"/>
      <c r="H38" s="240">
        <f>+C38+E38+G38</f>
        <v>86308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37110</v>
      </c>
      <c r="B39" s="2" t="s">
        <v>46</v>
      </c>
      <c r="C39" s="131">
        <f>+C38+C37</f>
        <v>64269</v>
      </c>
      <c r="D39" s="259"/>
      <c r="E39" s="131">
        <f>+E38+E37</f>
        <v>380</v>
      </c>
      <c r="F39" s="259"/>
      <c r="G39" s="131"/>
      <c r="H39" s="131">
        <f>+H38+H36</f>
        <v>64649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167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7">
        <v>-1582961</v>
      </c>
      <c r="D44" s="207"/>
      <c r="E44" s="425">
        <v>1173093</v>
      </c>
      <c r="F44" s="47">
        <f>+E44+C44</f>
        <v>-409868</v>
      </c>
      <c r="G44" s="252"/>
      <c r="H44" s="42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37110</v>
      </c>
      <c r="B45" s="32"/>
      <c r="C45" s="47">
        <f>+C37*summary!H4</f>
        <v>0</v>
      </c>
      <c r="D45" s="207"/>
      <c r="E45" s="425">
        <f>+E37*summary!H3</f>
        <v>-57829.53</v>
      </c>
      <c r="F45" s="47">
        <f>+E45+C45</f>
        <v>-57829.53</v>
      </c>
      <c r="G45" s="252"/>
      <c r="H45" s="42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</v>
      </c>
      <c r="D46" s="207"/>
      <c r="E46" s="425">
        <f>+E45+E44</f>
        <v>1115263.47</v>
      </c>
      <c r="F46" s="47">
        <f>+E46+C46</f>
        <v>-467697.53</v>
      </c>
      <c r="G46" s="252"/>
      <c r="H46" s="42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25"/>
      <c r="D47" s="425"/>
      <c r="E47" s="425"/>
      <c r="F47" s="47"/>
      <c r="G47" s="252"/>
      <c r="H47" s="42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6" sqref="C36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780705</v>
      </c>
      <c r="C37" s="11">
        <f>SUM(C6:C36)</f>
        <v>813948</v>
      </c>
      <c r="D37" s="11">
        <f>SUM(D6:D36)</f>
        <v>33243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377">
        <v>54872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37110</v>
      </c>
      <c r="C40" s="48"/>
      <c r="D40" s="25">
        <f>+D39+D37</f>
        <v>88115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167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411725</v>
      </c>
    </row>
    <row r="46" spans="1:16" x14ac:dyDescent="0.25">
      <c r="A46" s="49">
        <f>+A40</f>
        <v>37110</v>
      </c>
      <c r="B46" s="32"/>
      <c r="C46" s="32"/>
      <c r="D46" s="423">
        <f>+D37*'by type'!J3</f>
        <v>88758.81</v>
      </c>
    </row>
    <row r="47" spans="1:16" x14ac:dyDescent="0.25">
      <c r="A47" s="32"/>
      <c r="B47" s="32"/>
      <c r="C47" s="32"/>
      <c r="D47" s="202">
        <f>+D46+D45</f>
        <v>500483.81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2001-08-08T21:10:56Z</cp:lastPrinted>
  <dcterms:created xsi:type="dcterms:W3CDTF">2000-03-28T16:52:23Z</dcterms:created>
  <dcterms:modified xsi:type="dcterms:W3CDTF">2023-09-10T12:03:46Z</dcterms:modified>
</cp:coreProperties>
</file>