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8" activeTab="15"/>
    <workbookView xWindow="360" yWindow="96" windowWidth="9720" windowHeight="6792" tabRatio="895" activeTab="2"/>
    <workbookView xWindow="600" yWindow="288" windowWidth="9720" windowHeight="6600" firstSheet="1" activeTab="1"/>
    <workbookView xWindow="840" yWindow="480" windowWidth="10860" windowHeight="6408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type'!$A$2:$J$50</definedName>
    <definedName name="_xlnm.Print_Area" localSheetId="27">Calpine!$A$3:$D$41</definedName>
    <definedName name="_xlnm.Print_Area" localSheetId="12">Conoco!$A$2:$F$44</definedName>
    <definedName name="_xlnm.Print_Area" localSheetId="16">DEFS!$A$1:$J$54</definedName>
    <definedName name="_xlnm.Print_Area" localSheetId="15">Duke!$A$2:$C$63</definedName>
    <definedName name="_xlnm.Print_Area" localSheetId="7">'El Paso'!$A$2:$I$38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PGETX!$A$1:$H$39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summary!$A$2:$K$45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B13" i="8"/>
  <c r="D13" i="8"/>
  <c r="D14" i="8"/>
  <c r="D15" i="8"/>
  <c r="D16" i="8"/>
  <c r="D17" i="8"/>
  <c r="D18" i="8"/>
  <c r="D19" i="8"/>
  <c r="D20" i="8"/>
  <c r="D24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H3" i="80"/>
  <c r="J3" i="80"/>
  <c r="H4" i="80"/>
  <c r="H5" i="80"/>
  <c r="B8" i="80"/>
  <c r="C8" i="80"/>
  <c r="D8" i="80"/>
  <c r="B9" i="80"/>
  <c r="C9" i="80"/>
  <c r="D9" i="80"/>
  <c r="B10" i="80"/>
  <c r="C10" i="80"/>
  <c r="D10" i="80"/>
  <c r="B11" i="80"/>
  <c r="C11" i="80"/>
  <c r="D11" i="80"/>
  <c r="B12" i="80"/>
  <c r="C12" i="80"/>
  <c r="D12" i="80"/>
  <c r="B13" i="80"/>
  <c r="C13" i="80"/>
  <c r="D13" i="80"/>
  <c r="B14" i="80"/>
  <c r="C14" i="80"/>
  <c r="D14" i="80"/>
  <c r="B15" i="80"/>
  <c r="C15" i="80"/>
  <c r="D15" i="80"/>
  <c r="B16" i="80"/>
  <c r="C16" i="80"/>
  <c r="D16" i="80"/>
  <c r="B17" i="80"/>
  <c r="C17" i="80"/>
  <c r="D17" i="80"/>
  <c r="B18" i="80"/>
  <c r="C18" i="80"/>
  <c r="D18" i="80"/>
  <c r="B19" i="80"/>
  <c r="C19" i="80"/>
  <c r="D19" i="80"/>
  <c r="B20" i="80"/>
  <c r="C20" i="80"/>
  <c r="D20" i="80"/>
  <c r="B21" i="80"/>
  <c r="C21" i="80"/>
  <c r="D21" i="80"/>
  <c r="B22" i="80"/>
  <c r="C22" i="80"/>
  <c r="D22" i="80"/>
  <c r="B23" i="80"/>
  <c r="C23" i="80"/>
  <c r="D23" i="80"/>
  <c r="B24" i="80"/>
  <c r="C24" i="80"/>
  <c r="D24" i="80"/>
  <c r="B25" i="80"/>
  <c r="C25" i="80"/>
  <c r="D25" i="80"/>
  <c r="B26" i="80"/>
  <c r="C26" i="80"/>
  <c r="D26" i="80"/>
  <c r="B27" i="80"/>
  <c r="C27" i="80"/>
  <c r="D27" i="80"/>
  <c r="B28" i="80"/>
  <c r="C28" i="80"/>
  <c r="D28" i="80"/>
  <c r="B29" i="80"/>
  <c r="C29" i="80"/>
  <c r="B32" i="80"/>
  <c r="C32" i="80"/>
  <c r="D32" i="80"/>
  <c r="B33" i="80"/>
  <c r="C33" i="80"/>
  <c r="D33" i="80"/>
  <c r="B34" i="80"/>
  <c r="C34" i="80"/>
  <c r="D34" i="80"/>
  <c r="B35" i="80"/>
  <c r="C35" i="80"/>
  <c r="D35" i="80"/>
  <c r="B36" i="80"/>
  <c r="C36" i="80"/>
  <c r="D36" i="80"/>
  <c r="B37" i="80"/>
  <c r="C37" i="80"/>
  <c r="D37" i="80"/>
  <c r="B38" i="80"/>
  <c r="C38" i="80"/>
  <c r="D38" i="80"/>
  <c r="B39" i="80"/>
  <c r="C39" i="80"/>
  <c r="D39" i="80"/>
  <c r="B40" i="80"/>
  <c r="C40" i="80"/>
  <c r="D40" i="80"/>
  <c r="B41" i="80"/>
  <c r="C41" i="80"/>
  <c r="D41" i="80"/>
  <c r="B42" i="80"/>
  <c r="C42" i="80"/>
  <c r="D42" i="80"/>
  <c r="B43" i="80"/>
  <c r="C43" i="80"/>
  <c r="B45" i="80"/>
  <c r="C45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D5" i="78"/>
  <c r="D6" i="78"/>
  <c r="D7" i="78"/>
  <c r="D8" i="78"/>
  <c r="D9" i="78"/>
  <c r="D10" i="78"/>
  <c r="D11" i="78"/>
  <c r="D12" i="78"/>
  <c r="D13" i="78"/>
  <c r="D14" i="78"/>
  <c r="D18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H4" i="73"/>
  <c r="H5" i="73"/>
  <c r="H6" i="73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B35" i="73"/>
  <c r="C35" i="73"/>
  <c r="D35" i="73"/>
  <c r="E35" i="73"/>
  <c r="F35" i="73"/>
  <c r="G35" i="73"/>
  <c r="H35" i="73"/>
  <c r="C36" i="73"/>
  <c r="G36" i="73"/>
  <c r="C37" i="73"/>
  <c r="G37" i="73"/>
  <c r="C38" i="73"/>
  <c r="G38" i="73"/>
  <c r="H38" i="73"/>
  <c r="H39" i="73"/>
  <c r="C40" i="73"/>
  <c r="G40" i="73"/>
  <c r="H40" i="73"/>
  <c r="H50" i="73"/>
  <c r="H52" i="73"/>
  <c r="H54" i="73"/>
  <c r="B10" i="20"/>
  <c r="B11" i="20"/>
  <c r="B12" i="20"/>
  <c r="B13" i="20"/>
  <c r="B14" i="20"/>
  <c r="B15" i="20"/>
  <c r="B16" i="20"/>
  <c r="B17" i="20"/>
  <c r="C17" i="20"/>
  <c r="C18" i="20"/>
  <c r="B29" i="20"/>
  <c r="B30" i="20"/>
  <c r="C30" i="20"/>
  <c r="C31" i="20"/>
  <c r="B44" i="20"/>
  <c r="B45" i="20"/>
  <c r="C45" i="20"/>
  <c r="C46" i="20"/>
  <c r="C63" i="20"/>
  <c r="G64" i="20"/>
  <c r="H64" i="20"/>
  <c r="H5" i="11"/>
  <c r="H6" i="11"/>
  <c r="H7" i="11"/>
  <c r="H8" i="11"/>
  <c r="AB8" i="11"/>
  <c r="AC8" i="11"/>
  <c r="AF8" i="11"/>
  <c r="AI8" i="11"/>
  <c r="AL8" i="11"/>
  <c r="AM8" i="11"/>
  <c r="AN8" i="11"/>
  <c r="AO8" i="11"/>
  <c r="AP8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D66" i="70"/>
  <c r="D67" i="70"/>
  <c r="D68" i="70"/>
  <c r="D69" i="70"/>
  <c r="D75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D6" i="77"/>
  <c r="D7" i="77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B10" i="64"/>
  <c r="D10" i="64"/>
  <c r="D11" i="64"/>
  <c r="D12" i="64"/>
  <c r="D13" i="64"/>
  <c r="D17" i="64"/>
  <c r="D18" i="64"/>
  <c r="D19" i="64"/>
  <c r="D23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0" i="15"/>
  <c r="F41" i="15"/>
  <c r="F43" i="15"/>
  <c r="AF45" i="15"/>
  <c r="AJ45" i="15"/>
  <c r="AN45" i="15"/>
  <c r="AR45" i="15"/>
  <c r="AR48" i="15"/>
  <c r="AR51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B36" i="63"/>
  <c r="C36" i="63"/>
  <c r="D36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D70" i="2"/>
  <c r="D73" i="2"/>
  <c r="D74" i="2"/>
  <c r="D75" i="2"/>
</calcChain>
</file>

<file path=xl/sharedStrings.xml><?xml version="1.0" encoding="utf-8"?>
<sst xmlns="http://schemas.openxmlformats.org/spreadsheetml/2006/main" count="589" uniqueCount="170">
  <si>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</si>
  <si>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</si>
  <si>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</si>
  <si>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</si>
  <si>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</si>
  <si>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</si>
  <si>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</si>
  <si>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</si>
  <si>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</si>
  <si>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</si>
  <si>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</si>
  <si>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</si>
  <si>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</si>
  <si>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</si>
  <si>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</si>
  <si>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</si>
  <si>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</si>
  <si>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</si>
  <si>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</si>
  <si>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</si>
  <si>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</si>
  <si>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</si>
  <si>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</si>
  <si>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</si>
  <si>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</si>
  <si>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</si>
  <si>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</si>
  <si>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</si>
  <si>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</si>
  <si>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</si>
  <si>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</si>
  <si>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</si>
  <si>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</si>
  <si>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</si>
  <si>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</si>
  <si>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</si>
  <si>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</si>
  <si>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</si>
  <si>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</si>
  <si>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</si>
  <si>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</si>
  <si>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</si>
  <si>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</si>
  <si>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</si>
  <si>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</si>
  <si>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</si>
  <si>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</si>
  <si>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</si>
  <si>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</si>
  <si>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</si>
  <si>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</si>
  <si>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</si>
  <si>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</si>
  <si>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</si>
  <si>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</si>
  <si>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</si>
  <si>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</si>
  <si>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</si>
  <si>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</si>
  <si>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</si>
  <si>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</si>
  <si>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</si>
  <si>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</si>
  <si>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</si>
  <si>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</si>
  <si>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</si>
  <si>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</si>
  <si>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</si>
  <si>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</si>
  <si>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</si>
  <si>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</si>
  <si>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</si>
  <si>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</si>
  <si>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</si>
  <si>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</si>
  <si>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</si>
  <si>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</si>
  <si>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</si>
  <si>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</si>
  <si>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</si>
  <si>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</si>
  <si>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</si>
  <si>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</si>
  <si>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</si>
  <si>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</si>
  <si>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</si>
  <si>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</si>
  <si>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</si>
  <si>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</si>
  <si>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</si>
  <si>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</si>
  <si>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</si>
  <si>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</si>
  <si>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</si>
  <si>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</si>
  <si>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</si>
  <si>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</si>
  <si>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</si>
  <si>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</si>
  <si>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</si>
  <si>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</si>
  <si>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</si>
  <si>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</si>
  <si>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</si>
  <si>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</si>
  <si>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</si>
  <si>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</si>
  <si>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</si>
  <si>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</si>
  <si>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</si>
  <si>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</si>
  <si>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</si>
  <si>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</si>
  <si>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</si>
  <si>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</si>
  <si>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</si>
  <si>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</si>
  <si>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</si>
  <si>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</si>
  <si>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</si>
  <si>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</si>
  <si>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</si>
  <si>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</si>
  <si>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</si>
  <si>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</si>
  <si>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</si>
  <si>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</si>
  <si>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</si>
  <si>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</si>
  <si>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</si>
  <si>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</si>
  <si>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</si>
  <si>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</si>
  <si>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</si>
  <si>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</si>
  <si>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</si>
  <si>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</si>
  <si>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</si>
  <si>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</si>
  <si>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</si>
  <si>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</si>
  <si>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</si>
  <si>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</si>
  <si>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</si>
  <si>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</si>
  <si>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</si>
  <si>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</si>
  <si>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</si>
  <si>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</si>
  <si>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</si>
  <si>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$ valued totals</t>
  </si>
  <si>
    <t>volumetric totals</t>
  </si>
  <si>
    <t>Zia and Maljamar</t>
  </si>
  <si>
    <t>working on 10,000/d to sell</t>
  </si>
  <si>
    <t>6,000/d being received in payback</t>
  </si>
  <si>
    <t>balance is cashed out monthly</t>
  </si>
  <si>
    <t>Laura Giambro</t>
  </si>
  <si>
    <t>Positive=due Transwestern</t>
  </si>
  <si>
    <t>Date</t>
  </si>
  <si>
    <t>fire at Milagro on 15th has prevented payback</t>
  </si>
  <si>
    <t>53,000 mmbtus has been received in payback in 7/01</t>
  </si>
  <si>
    <t>47,000 mmbtus received in payback in 7/01</t>
  </si>
  <si>
    <t>108,000 mmbtus received in payback in 7/01</t>
  </si>
  <si>
    <t>Lorraine is talking to Red Cedar about cash out</t>
  </si>
  <si>
    <t>receiving payback and selling it above 7/01 index</t>
  </si>
  <si>
    <t>6/30/01 bal of $887,643.73 invoiced-not rec'd as of 7/27/01</t>
  </si>
  <si>
    <t>scheduling 3,000/d in payback</t>
  </si>
  <si>
    <t>received 35,000 mmbtus in payback in 7/01</t>
  </si>
  <si>
    <t>Net $ valued/vol</t>
  </si>
  <si>
    <t>EPFS / PG&amp;E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</si>
</sst>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4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u/>
      <sz val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10"/>
      <color indexed="10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b/>
      <sz val="9"/>
      <color indexed="57"/>
      <name val="Arial"/>
      <family val="2"/>
    </font>
    <font>
      <u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3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29" fillId="0" borderId="0" xfId="0" applyFont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30" fillId="0" borderId="0" xfId="1" applyNumberFormat="1" applyFont="1" applyFill="1"/>
    <xf numFmtId="7" fontId="9" fillId="0" borderId="0" xfId="0" applyNumberFormat="1" applyFont="1" applyFill="1" applyBorder="1"/>
    <xf numFmtId="37" fontId="31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2" fillId="0" borderId="0" xfId="1" applyNumberFormat="1" applyFont="1"/>
    <xf numFmtId="0" fontId="33" fillId="0" borderId="0" xfId="0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4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5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6" fillId="0" borderId="0" xfId="0" applyFont="1"/>
    <xf numFmtId="5" fontId="36" fillId="0" borderId="0" xfId="0" applyNumberFormat="1" applyFont="1" applyAlignment="1">
      <alignment horizontal="right"/>
    </xf>
    <xf numFmtId="37" fontId="36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30" fillId="0" borderId="0" xfId="1" applyNumberFormat="1" applyFont="1" applyFill="1"/>
    <xf numFmtId="166" fontId="30" fillId="0" borderId="1" xfId="1" applyNumberFormat="1" applyFont="1" applyBorder="1"/>
    <xf numFmtId="166" fontId="30" fillId="0" borderId="0" xfId="1" applyNumberFormat="1" applyFont="1"/>
    <xf numFmtId="37" fontId="37" fillId="0" borderId="0" xfId="1" applyNumberFormat="1" applyFont="1" applyFill="1"/>
    <xf numFmtId="0" fontId="20" fillId="0" borderId="0" xfId="0" applyFont="1"/>
    <xf numFmtId="0" fontId="36" fillId="0" borderId="0" xfId="0" applyFont="1" applyAlignment="1">
      <alignment horizontal="center"/>
    </xf>
    <xf numFmtId="43" fontId="0" fillId="0" borderId="0" xfId="1" applyFont="1"/>
    <xf numFmtId="166" fontId="38" fillId="0" borderId="1" xfId="1" applyNumberFormat="1" applyFont="1" applyFill="1" applyBorder="1"/>
    <xf numFmtId="37" fontId="38" fillId="0" borderId="0" xfId="1" applyNumberFormat="1" applyFont="1" applyFill="1"/>
    <xf numFmtId="37" fontId="38" fillId="0" borderId="0" xfId="1" applyNumberFormat="1" applyFont="1" applyFill="1" applyBorder="1"/>
    <xf numFmtId="5" fontId="38" fillId="0" borderId="1" xfId="0" applyNumberFormat="1" applyFont="1" applyFill="1" applyBorder="1"/>
    <xf numFmtId="166" fontId="38" fillId="0" borderId="0" xfId="1" applyNumberFormat="1" applyFont="1" applyFill="1" applyBorder="1"/>
    <xf numFmtId="7" fontId="38" fillId="0" borderId="1" xfId="0" applyNumberFormat="1" applyFont="1" applyFill="1" applyBorder="1"/>
    <xf numFmtId="5" fontId="38" fillId="0" borderId="0" xfId="1" applyNumberFormat="1" applyFont="1" applyFill="1"/>
    <xf numFmtId="7" fontId="38" fillId="0" borderId="0" xfId="1" applyNumberFormat="1" applyFont="1" applyFill="1"/>
    <xf numFmtId="166" fontId="38" fillId="0" borderId="0" xfId="1" applyNumberFormat="1" applyFont="1" applyFill="1"/>
    <xf numFmtId="44" fontId="38" fillId="0" borderId="0" xfId="2" applyFont="1" applyFill="1"/>
    <xf numFmtId="7" fontId="39" fillId="0" borderId="1" xfId="1" applyNumberFormat="1" applyFont="1" applyFill="1" applyBorder="1"/>
    <xf numFmtId="192" fontId="38" fillId="0" borderId="0" xfId="0" applyNumberFormat="1" applyFont="1" applyFill="1"/>
    <xf numFmtId="5" fontId="38" fillId="0" borderId="0" xfId="0" applyNumberFormat="1" applyFont="1" applyFill="1"/>
    <xf numFmtId="7" fontId="38" fillId="0" borderId="0" xfId="0" applyNumberFormat="1" applyFont="1" applyFill="1"/>
    <xf numFmtId="5" fontId="38" fillId="0" borderId="0" xfId="0" applyNumberFormat="1" applyFont="1" applyFill="1" applyAlignment="1">
      <alignment horizontal="left" indent="2"/>
    </xf>
    <xf numFmtId="5" fontId="38" fillId="0" borderId="0" xfId="1" applyNumberFormat="1" applyFont="1" applyFill="1" applyBorder="1"/>
    <xf numFmtId="166" fontId="38" fillId="0" borderId="1" xfId="0" applyNumberFormat="1" applyFont="1" applyFill="1" applyBorder="1"/>
    <xf numFmtId="5" fontId="38" fillId="0" borderId="1" xfId="1" applyNumberFormat="1" applyFont="1" applyFill="1" applyBorder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14" fontId="9" fillId="0" borderId="0" xfId="0" applyNumberFormat="1" applyFont="1" applyBorder="1" applyAlignment="1">
      <alignment horizontal="center"/>
    </xf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40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5" fontId="6" fillId="0" borderId="0" xfId="0" applyNumberFormat="1" applyFont="1" applyAlignment="1">
      <alignment horizontal="right"/>
    </xf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6" fillId="0" borderId="0" xfId="1" applyNumberFormat="1" applyFont="1" applyAlignment="1"/>
    <xf numFmtId="37" fontId="9" fillId="0" borderId="1" xfId="1" applyNumberFormat="1" applyFont="1" applyBorder="1" applyAlignment="1"/>
    <xf numFmtId="166" fontId="9" fillId="0" borderId="3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7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2.93</v>
          </cell>
          <cell r="K39">
            <v>2.4300000000000002</v>
          </cell>
          <cell r="M39">
            <v>2.76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0"/>
  <sheetViews>
    <sheetView workbookViewId="0"/>
    <sheetView workbookViewId="1"/>
    <sheetView workbookViewId="2"/>
    <sheetView tabSelected="1" topLeftCell="A3" workbookViewId="3">
      <selection activeCell="G12" sqref="G12"/>
    </sheetView>
  </sheetViews>
  <sheetFormatPr defaultRowHeight="13.2" x14ac:dyDescent="0.25"/>
  <cols>
    <col min="1" max="1" width="15.6640625" style="296" customWidth="1"/>
    <col min="2" max="2" width="9.33203125" style="253" bestFit="1" customWidth="1"/>
    <col min="3" max="3" width="8.88671875" style="297" customWidth="1"/>
    <col min="4" max="4" width="5.109375" bestFit="1" customWidth="1"/>
    <col min="5" max="5" width="11.109375" bestFit="1" customWidth="1"/>
    <col min="6" max="6" width="12.88671875" bestFit="1" customWidth="1"/>
    <col min="10" max="10" width="12.6640625" customWidth="1"/>
  </cols>
  <sheetData>
    <row r="1" spans="1:20" ht="13.8" x14ac:dyDescent="0.25">
      <c r="A1" s="369"/>
    </row>
    <row r="2" spans="1:20" ht="20.100000000000001" customHeight="1" x14ac:dyDescent="0.25">
      <c r="A2" s="369" t="s">
        <v>146</v>
      </c>
      <c r="D2" s="7"/>
      <c r="G2" s="415" t="s">
        <v>81</v>
      </c>
      <c r="H2" s="391"/>
    </row>
    <row r="3" spans="1:20" ht="15" customHeight="1" x14ac:dyDescent="0.25">
      <c r="D3" s="7"/>
      <c r="G3" s="301" t="s">
        <v>30</v>
      </c>
      <c r="H3" s="390">
        <f>+'[1]0701'!$K$39</f>
        <v>2.4300000000000002</v>
      </c>
      <c r="J3" s="430">
        <f ca="1">NOW()</f>
        <v>37102.542669097224</v>
      </c>
    </row>
    <row r="4" spans="1:20" ht="15" customHeight="1" x14ac:dyDescent="0.25">
      <c r="A4" s="34" t="s">
        <v>157</v>
      </c>
      <c r="C4" s="34" t="s">
        <v>5</v>
      </c>
      <c r="D4" s="7"/>
      <c r="G4" s="302" t="s">
        <v>31</v>
      </c>
      <c r="H4" s="303">
        <f>+'[1]0701'!$M$39</f>
        <v>2.76</v>
      </c>
    </row>
    <row r="5" spans="1:20" ht="15" customHeight="1" x14ac:dyDescent="0.25">
      <c r="D5" s="7"/>
      <c r="G5" s="301" t="s">
        <v>120</v>
      </c>
      <c r="H5" s="390">
        <f>+'[1]0701'!$H$39</f>
        <v>2.93</v>
      </c>
    </row>
    <row r="6" spans="1:20" ht="18" customHeight="1" x14ac:dyDescent="0.25">
      <c r="J6" s="251"/>
    </row>
    <row r="7" spans="1:20" ht="12.9" customHeight="1" x14ac:dyDescent="0.25">
      <c r="A7" s="359" t="s">
        <v>92</v>
      </c>
      <c r="B7" s="360" t="s">
        <v>17</v>
      </c>
      <c r="C7" s="361" t="s">
        <v>0</v>
      </c>
      <c r="D7" s="370" t="s">
        <v>158</v>
      </c>
      <c r="E7" s="359" t="s">
        <v>93</v>
      </c>
      <c r="F7" s="362" t="s">
        <v>104</v>
      </c>
      <c r="G7" s="300" t="s">
        <v>101</v>
      </c>
    </row>
    <row r="8" spans="1:20" ht="15" customHeight="1" x14ac:dyDescent="0.25">
      <c r="A8" s="392" t="s">
        <v>90</v>
      </c>
      <c r="B8" s="393">
        <f>+NNG!$D$24</f>
        <v>684263.62</v>
      </c>
      <c r="C8" s="421">
        <f>+B8/$H$4</f>
        <v>247921.60144927539</v>
      </c>
      <c r="D8" s="416">
        <f>+NNG!A24</f>
        <v>37100</v>
      </c>
      <c r="E8" s="206" t="s">
        <v>88</v>
      </c>
      <c r="F8" s="206" t="s">
        <v>103</v>
      </c>
      <c r="G8" s="32" t="s">
        <v>164</v>
      </c>
      <c r="H8" s="70"/>
      <c r="I8" s="32"/>
    </row>
    <row r="9" spans="1:20" ht="15" customHeight="1" x14ac:dyDescent="0.25">
      <c r="A9" s="254" t="s">
        <v>24</v>
      </c>
      <c r="B9" s="395">
        <f>+'Red C'!$F$43</f>
        <v>674468.93</v>
      </c>
      <c r="C9" s="421">
        <f>+B9/$H$3</f>
        <v>277559.23045267491</v>
      </c>
      <c r="D9" s="416">
        <f>+'Red C'!B43</f>
        <v>37100</v>
      </c>
      <c r="E9" s="32" t="s">
        <v>88</v>
      </c>
      <c r="F9" s="32" t="s">
        <v>118</v>
      </c>
      <c r="G9" s="32" t="s">
        <v>163</v>
      </c>
      <c r="H9" s="32"/>
      <c r="I9" s="32"/>
    </row>
    <row r="10" spans="1:20" ht="15" customHeight="1" x14ac:dyDescent="0.25">
      <c r="A10" s="254" t="s">
        <v>83</v>
      </c>
      <c r="B10" s="393">
        <f>+Conoco!$F$41</f>
        <v>597282.1100000001</v>
      </c>
      <c r="C10" s="421">
        <f t="shared" ref="C10:C25" si="0">+B10/$H$4</f>
        <v>216406.56159420294</v>
      </c>
      <c r="D10" s="416">
        <f>+Conoco!A41</f>
        <v>37100</v>
      </c>
      <c r="E10" s="32" t="s">
        <v>88</v>
      </c>
      <c r="F10" s="32" t="s">
        <v>116</v>
      </c>
      <c r="G10" s="32" t="s">
        <v>152</v>
      </c>
      <c r="H10" s="32"/>
      <c r="I10" s="32"/>
    </row>
    <row r="11" spans="1:20" ht="15" customHeight="1" x14ac:dyDescent="0.25">
      <c r="A11" s="254" t="s">
        <v>3</v>
      </c>
      <c r="B11" s="393">
        <f>+'Amoco Abo'!$F$43</f>
        <v>479427.47</v>
      </c>
      <c r="C11" s="421">
        <f t="shared" si="0"/>
        <v>173705.60507246378</v>
      </c>
      <c r="D11" s="417">
        <f>+'Amoco Abo'!A43</f>
        <v>37100</v>
      </c>
      <c r="E11" s="32" t="s">
        <v>88</v>
      </c>
      <c r="F11" s="32" t="s">
        <v>118</v>
      </c>
      <c r="G11" s="32" t="s">
        <v>162</v>
      </c>
      <c r="H11" s="32"/>
      <c r="I11" s="32"/>
    </row>
    <row r="12" spans="1:20" ht="15" customHeight="1" x14ac:dyDescent="0.25">
      <c r="A12" s="254" t="s">
        <v>110</v>
      </c>
      <c r="B12" s="393">
        <f>+KN_Westar!F41</f>
        <v>422288.61</v>
      </c>
      <c r="C12" s="421">
        <f t="shared" si="0"/>
        <v>153003.11956521741</v>
      </c>
      <c r="D12" s="417">
        <f>+KN_Westar!A41</f>
        <v>37100</v>
      </c>
      <c r="E12" s="32" t="s">
        <v>88</v>
      </c>
      <c r="F12" s="32" t="s">
        <v>103</v>
      </c>
      <c r="G12" s="32"/>
      <c r="H12" s="32"/>
      <c r="I12" s="32"/>
      <c r="T12" s="268"/>
    </row>
    <row r="13" spans="1:20" ht="15" customHeight="1" x14ac:dyDescent="0.25">
      <c r="A13" s="254" t="s">
        <v>2</v>
      </c>
      <c r="B13" s="393">
        <f>+mewborne!$J$43</f>
        <v>359091.13</v>
      </c>
      <c r="C13" s="421">
        <f t="shared" si="0"/>
        <v>130105.48188405798</v>
      </c>
      <c r="D13" s="417">
        <f>+mewborne!A43</f>
        <v>37100</v>
      </c>
      <c r="E13" s="32" t="s">
        <v>88</v>
      </c>
      <c r="F13" s="32" t="s">
        <v>102</v>
      </c>
      <c r="G13" s="32"/>
      <c r="H13" s="32"/>
      <c r="I13" s="32"/>
      <c r="T13" s="268"/>
    </row>
    <row r="14" spans="1:20" ht="15" customHeight="1" x14ac:dyDescent="0.25">
      <c r="A14" s="254" t="s">
        <v>113</v>
      </c>
      <c r="B14" s="393">
        <f>+CIG!D43</f>
        <v>326755</v>
      </c>
      <c r="C14" s="421">
        <f t="shared" si="0"/>
        <v>118389.4927536232</v>
      </c>
      <c r="D14" s="417">
        <f>+CIG!A43</f>
        <v>37100</v>
      </c>
      <c r="E14" s="32" t="s">
        <v>88</v>
      </c>
      <c r="F14" s="32" t="s">
        <v>116</v>
      </c>
      <c r="G14" s="32"/>
      <c r="H14" s="32"/>
      <c r="I14" s="32"/>
    </row>
    <row r="15" spans="1:20" ht="15" customHeight="1" x14ac:dyDescent="0.25">
      <c r="A15" s="254" t="s">
        <v>85</v>
      </c>
      <c r="B15" s="393">
        <f>+PNM!$D$23</f>
        <v>306021.19000000006</v>
      </c>
      <c r="C15" s="421">
        <f t="shared" si="0"/>
        <v>110877.24275362321</v>
      </c>
      <c r="D15" s="417">
        <f>+PNM!A23</f>
        <v>37100</v>
      </c>
      <c r="E15" s="32" t="s">
        <v>88</v>
      </c>
      <c r="F15" s="32" t="s">
        <v>118</v>
      </c>
      <c r="G15" s="32" t="s">
        <v>154</v>
      </c>
      <c r="H15" s="32"/>
      <c r="I15" s="32"/>
    </row>
    <row r="16" spans="1:20" ht="15" customHeight="1" x14ac:dyDescent="0.25">
      <c r="A16" s="254" t="s">
        <v>131</v>
      </c>
      <c r="B16" s="393">
        <f>+DEFS!H54</f>
        <v>242229.5700000003</v>
      </c>
      <c r="C16" s="422">
        <f t="shared" si="0"/>
        <v>87764.33695652186</v>
      </c>
      <c r="D16" s="417">
        <f>+DEFS!A40</f>
        <v>37100</v>
      </c>
      <c r="E16" s="32" t="s">
        <v>88</v>
      </c>
      <c r="F16" s="32" t="s">
        <v>103</v>
      </c>
      <c r="G16" s="32" t="s">
        <v>121</v>
      </c>
      <c r="H16" s="32"/>
      <c r="I16" s="32"/>
    </row>
    <row r="17" spans="1:9" ht="15" customHeight="1" x14ac:dyDescent="0.25">
      <c r="A17" s="254" t="s">
        <v>169</v>
      </c>
      <c r="B17" s="393">
        <f>+PGETX!$H$39</f>
        <v>240507.56000000003</v>
      </c>
      <c r="C17" s="421">
        <f t="shared" si="0"/>
        <v>87140.420289855087</v>
      </c>
      <c r="D17" s="417">
        <f>+PGETX!E39</f>
        <v>37100</v>
      </c>
      <c r="E17" s="32" t="s">
        <v>88</v>
      </c>
      <c r="F17" s="32" t="s">
        <v>105</v>
      </c>
      <c r="G17" s="32"/>
      <c r="H17" s="32"/>
      <c r="I17" s="32"/>
    </row>
    <row r="18" spans="1:9" ht="15" customHeight="1" x14ac:dyDescent="0.25">
      <c r="A18" s="254" t="s">
        <v>106</v>
      </c>
      <c r="B18" s="393">
        <f>+EOG!J41</f>
        <v>162079.67000000001</v>
      </c>
      <c r="C18" s="421">
        <f t="shared" si="0"/>
        <v>58724.518115942039</v>
      </c>
      <c r="D18" s="416">
        <f>+EOG!A41</f>
        <v>37100</v>
      </c>
      <c r="E18" s="32" t="s">
        <v>88</v>
      </c>
      <c r="F18" s="32" t="s">
        <v>105</v>
      </c>
      <c r="G18" s="32" t="s">
        <v>161</v>
      </c>
      <c r="H18" s="32"/>
      <c r="I18" s="32"/>
    </row>
    <row r="19" spans="1:9" ht="15" customHeight="1" x14ac:dyDescent="0.25">
      <c r="A19" s="254" t="s">
        <v>136</v>
      </c>
      <c r="B19" s="393">
        <f>+SidR!D41</f>
        <v>134393.24000000002</v>
      </c>
      <c r="C19" s="421">
        <f t="shared" si="0"/>
        <v>48693.202898550735</v>
      </c>
      <c r="D19" s="417">
        <f>+SidR!A41</f>
        <v>37100</v>
      </c>
      <c r="E19" s="32" t="s">
        <v>88</v>
      </c>
      <c r="F19" s="32" t="s">
        <v>105</v>
      </c>
      <c r="G19" s="32" t="s">
        <v>165</v>
      </c>
      <c r="H19" s="32"/>
      <c r="I19" s="32"/>
    </row>
    <row r="20" spans="1:9" ht="15" customHeight="1" x14ac:dyDescent="0.25">
      <c r="A20" s="392" t="s">
        <v>132</v>
      </c>
      <c r="B20" s="393">
        <f>+Calpine!D41</f>
        <v>46638.669999999925</v>
      </c>
      <c r="C20" s="422">
        <f>+B20/$H$4</f>
        <v>16898.068840579683</v>
      </c>
      <c r="D20" s="416">
        <f>+Calpine!A41</f>
        <v>37100</v>
      </c>
      <c r="E20" s="206" t="s">
        <v>88</v>
      </c>
      <c r="F20" s="206" t="s">
        <v>102</v>
      </c>
      <c r="G20" s="400"/>
      <c r="H20" s="32"/>
      <c r="I20" s="32"/>
    </row>
    <row r="21" spans="1:9" ht="15" customHeight="1" x14ac:dyDescent="0.25">
      <c r="A21" s="254" t="s">
        <v>74</v>
      </c>
      <c r="B21" s="395">
        <f>+transcol!$D$43</f>
        <v>29280.329999999998</v>
      </c>
      <c r="C21" s="421">
        <f t="shared" si="0"/>
        <v>10608.815217391304</v>
      </c>
      <c r="D21" s="417">
        <f>+transcol!A43</f>
        <v>37100</v>
      </c>
      <c r="E21" s="32" t="s">
        <v>88</v>
      </c>
      <c r="F21" s="32" t="s">
        <v>118</v>
      </c>
      <c r="G21" s="32"/>
      <c r="H21" s="32"/>
      <c r="I21" s="32"/>
    </row>
    <row r="22" spans="1:9" ht="15" customHeight="1" x14ac:dyDescent="0.25">
      <c r="A22" s="254" t="s">
        <v>112</v>
      </c>
      <c r="B22" s="393">
        <f>+Continental!F43</f>
        <v>-14806.050000000001</v>
      </c>
      <c r="C22" s="422">
        <f>+B22/$H$4</f>
        <v>-5364.5108695652179</v>
      </c>
      <c r="D22" s="417">
        <f>+Continental!A43</f>
        <v>37100</v>
      </c>
      <c r="E22" s="32" t="s">
        <v>88</v>
      </c>
      <c r="F22" s="32" t="s">
        <v>118</v>
      </c>
      <c r="G22" s="32"/>
      <c r="H22" s="32"/>
      <c r="I22" s="32"/>
    </row>
    <row r="23" spans="1:9" ht="15" customHeight="1" x14ac:dyDescent="0.25">
      <c r="A23" s="392" t="s">
        <v>98</v>
      </c>
      <c r="B23" s="393">
        <f>+burlington!D42</f>
        <v>-34260.57</v>
      </c>
      <c r="C23" s="421">
        <f>+B23/$H$3</f>
        <v>-14098.999999999998</v>
      </c>
      <c r="D23" s="416">
        <f>+burlington!A42</f>
        <v>37100</v>
      </c>
      <c r="E23" s="206" t="s">
        <v>88</v>
      </c>
      <c r="F23" s="32" t="s">
        <v>116</v>
      </c>
      <c r="G23" s="32" t="s">
        <v>155</v>
      </c>
      <c r="H23" s="32"/>
      <c r="I23" s="32"/>
    </row>
    <row r="24" spans="1:9" ht="15" customHeight="1" x14ac:dyDescent="0.25">
      <c r="A24" s="254" t="s">
        <v>134</v>
      </c>
      <c r="B24" s="393">
        <f>+EPFS!D41</f>
        <v>-101367.35</v>
      </c>
      <c r="C24" s="422">
        <f>+B24/$H$5</f>
        <v>-34596.365187713309</v>
      </c>
      <c r="D24" s="416">
        <f>+EPFS!A41</f>
        <v>37100</v>
      </c>
      <c r="E24" s="32" t="s">
        <v>88</v>
      </c>
      <c r="F24" s="32" t="s">
        <v>105</v>
      </c>
      <c r="G24" s="32"/>
      <c r="H24" s="32"/>
      <c r="I24" s="32"/>
    </row>
    <row r="25" spans="1:9" ht="15" customHeight="1" x14ac:dyDescent="0.25">
      <c r="A25" s="392" t="s">
        <v>82</v>
      </c>
      <c r="B25" s="393">
        <f>+Agave!$D$24</f>
        <v>-103116.15</v>
      </c>
      <c r="C25" s="422">
        <f t="shared" si="0"/>
        <v>-37360.92391304348</v>
      </c>
      <c r="D25" s="416">
        <f>+Agave!A24</f>
        <v>37100</v>
      </c>
      <c r="E25" s="206" t="s">
        <v>88</v>
      </c>
      <c r="F25" s="206" t="s">
        <v>105</v>
      </c>
      <c r="G25" s="32"/>
      <c r="H25" s="32"/>
      <c r="I25" s="32"/>
    </row>
    <row r="26" spans="1:9" ht="15" customHeight="1" x14ac:dyDescent="0.25">
      <c r="A26" s="254" t="s">
        <v>145</v>
      </c>
      <c r="B26" s="393">
        <f>+'Citizens-Griffith'!D41</f>
        <v>-351731.65</v>
      </c>
      <c r="C26" s="421">
        <f>+B26/$H$4</f>
        <v>-127439.00362318843</v>
      </c>
      <c r="D26" s="416">
        <f>+'Citizens-Griffith'!A41</f>
        <v>37100</v>
      </c>
      <c r="E26" s="32" t="s">
        <v>88</v>
      </c>
      <c r="F26" s="32" t="s">
        <v>102</v>
      </c>
      <c r="G26" s="32"/>
      <c r="H26" s="32"/>
      <c r="I26" s="32"/>
    </row>
    <row r="27" spans="1:9" ht="15" customHeight="1" x14ac:dyDescent="0.25">
      <c r="A27" s="254" t="s">
        <v>138</v>
      </c>
      <c r="B27" s="393">
        <f>+'NS Steel'!D41</f>
        <v>-391141.36</v>
      </c>
      <c r="C27" s="421">
        <f>+B27/$H$4</f>
        <v>-141717.88405797101</v>
      </c>
      <c r="D27" s="417">
        <f>+'NS Steel'!A41</f>
        <v>37100</v>
      </c>
      <c r="E27" s="32" t="s">
        <v>88</v>
      </c>
      <c r="F27" s="32" t="s">
        <v>103</v>
      </c>
      <c r="G27" s="400"/>
      <c r="H27" s="32"/>
      <c r="I27" s="32"/>
    </row>
    <row r="28" spans="1:9" ht="15" customHeight="1" x14ac:dyDescent="0.25">
      <c r="A28" s="392" t="s">
        <v>140</v>
      </c>
      <c r="B28" s="397">
        <f>+Citizens!D18</f>
        <v>-861937.3</v>
      </c>
      <c r="C28" s="423">
        <f>+B28/$H$4</f>
        <v>-312296.12318840582</v>
      </c>
      <c r="D28" s="416">
        <f>+Citizens!A18</f>
        <v>37100</v>
      </c>
      <c r="E28" s="206" t="s">
        <v>88</v>
      </c>
      <c r="F28" s="206" t="s">
        <v>102</v>
      </c>
      <c r="G28" s="400"/>
      <c r="H28" s="32"/>
      <c r="I28" s="32"/>
    </row>
    <row r="29" spans="1:9" ht="15" customHeight="1" x14ac:dyDescent="0.25">
      <c r="A29" s="32" t="s">
        <v>150</v>
      </c>
      <c r="B29" s="47">
        <f>SUM(B8:B28)</f>
        <v>2846366.67</v>
      </c>
      <c r="C29" s="424">
        <f>SUM(C8:C28)</f>
        <v>1064923.8870040923</v>
      </c>
      <c r="D29" s="205"/>
      <c r="E29" s="32"/>
      <c r="F29" s="32"/>
      <c r="G29" s="32"/>
      <c r="H29" s="32"/>
      <c r="I29" s="32"/>
    </row>
    <row r="30" spans="1:9" ht="15.9" customHeight="1" x14ac:dyDescent="0.25">
      <c r="A30" s="392"/>
      <c r="B30" s="393"/>
      <c r="C30" s="421"/>
      <c r="D30" s="394"/>
      <c r="E30" s="206"/>
      <c r="F30" s="206"/>
      <c r="G30" s="32"/>
      <c r="H30" s="32"/>
      <c r="I30" s="32"/>
    </row>
    <row r="31" spans="1:9" ht="12.9" customHeight="1" x14ac:dyDescent="0.25">
      <c r="A31" s="418" t="s">
        <v>92</v>
      </c>
      <c r="B31" s="419" t="s">
        <v>17</v>
      </c>
      <c r="C31" s="425" t="s">
        <v>0</v>
      </c>
      <c r="D31" s="370" t="s">
        <v>158</v>
      </c>
      <c r="E31" s="418" t="s">
        <v>93</v>
      </c>
      <c r="F31" s="420" t="s">
        <v>104</v>
      </c>
      <c r="G31" s="400" t="s">
        <v>101</v>
      </c>
      <c r="H31" s="32"/>
      <c r="I31" s="32"/>
    </row>
    <row r="32" spans="1:9" ht="15" customHeight="1" x14ac:dyDescent="0.25">
      <c r="A32" s="392" t="s">
        <v>29</v>
      </c>
      <c r="B32" s="393">
        <f>+C32*$H$3</f>
        <v>761078.43</v>
      </c>
      <c r="C32" s="421">
        <f>+williams!J40</f>
        <v>313201</v>
      </c>
      <c r="D32" s="416">
        <f>+williams!A40</f>
        <v>37100</v>
      </c>
      <c r="E32" s="206" t="s">
        <v>87</v>
      </c>
      <c r="F32" s="206" t="s">
        <v>156</v>
      </c>
      <c r="G32" s="32" t="s">
        <v>159</v>
      </c>
      <c r="H32" s="32"/>
      <c r="I32" s="32"/>
    </row>
    <row r="33" spans="1:9" ht="15" customHeight="1" x14ac:dyDescent="0.25">
      <c r="A33" s="254" t="s">
        <v>91</v>
      </c>
      <c r="B33" s="393">
        <f>+C33*$H$4</f>
        <v>431920.68</v>
      </c>
      <c r="C33" s="421">
        <f>+NGPL!F38</f>
        <v>156493</v>
      </c>
      <c r="D33" s="417">
        <f>+NGPL!A38</f>
        <v>37100</v>
      </c>
      <c r="E33" s="32" t="s">
        <v>87</v>
      </c>
      <c r="F33" s="32" t="s">
        <v>118</v>
      </c>
      <c r="G33" s="32" t="s">
        <v>160</v>
      </c>
      <c r="H33" s="32"/>
      <c r="I33" s="32"/>
    </row>
    <row r="34" spans="1:9" ht="15" customHeight="1" x14ac:dyDescent="0.25">
      <c r="A34" s="254" t="s">
        <v>33</v>
      </c>
      <c r="B34" s="393">
        <f>+C34*$H$4</f>
        <v>423858.72</v>
      </c>
      <c r="C34" s="422">
        <f>+SoCal!F40</f>
        <v>153572</v>
      </c>
      <c r="D34" s="417">
        <f>+SoCal!A40</f>
        <v>37100</v>
      </c>
      <c r="E34" s="32" t="s">
        <v>87</v>
      </c>
      <c r="F34" s="32" t="s">
        <v>105</v>
      </c>
      <c r="G34" s="32"/>
      <c r="H34" s="32"/>
      <c r="I34" s="32"/>
    </row>
    <row r="35" spans="1:9" ht="15" customHeight="1" x14ac:dyDescent="0.25">
      <c r="A35" s="254" t="s">
        <v>97</v>
      </c>
      <c r="B35" s="393">
        <f>+C35*$H$4</f>
        <v>374024.16</v>
      </c>
      <c r="C35" s="421">
        <f>+Mojave!D40</f>
        <v>135516</v>
      </c>
      <c r="D35" s="417">
        <f>+Mojave!A40</f>
        <v>37100</v>
      </c>
      <c r="E35" s="32" t="s">
        <v>87</v>
      </c>
      <c r="F35" s="32" t="s">
        <v>103</v>
      </c>
      <c r="G35" s="32"/>
      <c r="H35" s="32"/>
      <c r="I35" s="32"/>
    </row>
    <row r="36" spans="1:9" ht="15" customHeight="1" x14ac:dyDescent="0.25">
      <c r="A36" s="254" t="s">
        <v>149</v>
      </c>
      <c r="B36" s="395">
        <f>+C36*$H$4</f>
        <v>254626.55999999997</v>
      </c>
      <c r="C36" s="421">
        <f>+PEPL!D41</f>
        <v>92256</v>
      </c>
      <c r="D36" s="417">
        <f>+PEPL!A41</f>
        <v>37100</v>
      </c>
      <c r="E36" s="32" t="s">
        <v>87</v>
      </c>
      <c r="F36" s="32" t="s">
        <v>103</v>
      </c>
      <c r="G36" s="32" t="s">
        <v>148</v>
      </c>
      <c r="H36" s="32"/>
      <c r="I36" s="32"/>
    </row>
    <row r="37" spans="1:9" ht="15" customHeight="1" x14ac:dyDescent="0.25">
      <c r="A37" s="254" t="s">
        <v>34</v>
      </c>
      <c r="B37" s="393">
        <f>+'El Paso'!E38*summary!H3+'El Paso'!C38*summary!H4</f>
        <v>172838.33999999997</v>
      </c>
      <c r="C37" s="421">
        <f>+'El Paso'!H38</f>
        <v>62399</v>
      </c>
      <c r="D37" s="417">
        <f>+'El Paso'!A38</f>
        <v>37100</v>
      </c>
      <c r="E37" s="32" t="s">
        <v>87</v>
      </c>
      <c r="F37" s="32" t="s">
        <v>103</v>
      </c>
      <c r="G37" s="32" t="s">
        <v>122</v>
      </c>
      <c r="H37" s="32"/>
      <c r="I37" s="32"/>
    </row>
    <row r="38" spans="1:9" ht="15" customHeight="1" x14ac:dyDescent="0.25">
      <c r="A38" s="254" t="s">
        <v>32</v>
      </c>
      <c r="B38" s="393">
        <f>+C38*$H$4</f>
        <v>115006.43999999999</v>
      </c>
      <c r="C38" s="421">
        <f>+Lonestar!F42</f>
        <v>41669</v>
      </c>
      <c r="D38" s="416">
        <f>+Lonestar!B42</f>
        <v>37100</v>
      </c>
      <c r="E38" s="32" t="s">
        <v>87</v>
      </c>
      <c r="F38" s="32" t="s">
        <v>105</v>
      </c>
      <c r="G38" s="32" t="s">
        <v>166</v>
      </c>
      <c r="H38" s="32"/>
      <c r="I38" s="32"/>
    </row>
    <row r="39" spans="1:9" ht="15" customHeight="1" x14ac:dyDescent="0.25">
      <c r="A39" s="254" t="s">
        <v>6</v>
      </c>
      <c r="B39" s="393">
        <f>+C39*$H$3</f>
        <v>109622.16</v>
      </c>
      <c r="C39" s="421">
        <f>+Amoco!D40</f>
        <v>45112</v>
      </c>
      <c r="D39" s="417">
        <f>+Amoco!A40</f>
        <v>37100</v>
      </c>
      <c r="E39" s="32" t="s">
        <v>87</v>
      </c>
      <c r="F39" s="32" t="s">
        <v>118</v>
      </c>
      <c r="G39" s="32"/>
      <c r="H39" s="32"/>
      <c r="I39" s="32"/>
    </row>
    <row r="40" spans="1:9" ht="15" customHeight="1" x14ac:dyDescent="0.25">
      <c r="A40" s="254" t="s">
        <v>7</v>
      </c>
      <c r="B40" s="393">
        <f>+C40*$H$4</f>
        <v>108824.04</v>
      </c>
      <c r="C40" s="422">
        <f>+Oasis!D40</f>
        <v>39429</v>
      </c>
      <c r="D40" s="417">
        <f>+Oasis!B40</f>
        <v>37100</v>
      </c>
      <c r="E40" s="32" t="s">
        <v>87</v>
      </c>
      <c r="F40" s="32" t="s">
        <v>105</v>
      </c>
      <c r="G40" s="32"/>
      <c r="H40" s="32"/>
      <c r="I40" s="32"/>
    </row>
    <row r="41" spans="1:9" ht="15" customHeight="1" x14ac:dyDescent="0.25">
      <c r="A41" s="254" t="s">
        <v>117</v>
      </c>
      <c r="B41" s="393">
        <f>+C41*$H$4</f>
        <v>56778.719999999994</v>
      </c>
      <c r="C41" s="422">
        <f>+'PG&amp;E'!D40</f>
        <v>20572</v>
      </c>
      <c r="D41" s="417">
        <f>+'PG&amp;E'!A40</f>
        <v>37100</v>
      </c>
      <c r="E41" s="32" t="s">
        <v>87</v>
      </c>
      <c r="F41" s="32" t="s">
        <v>105</v>
      </c>
      <c r="G41" s="32"/>
      <c r="H41" s="32"/>
      <c r="I41" s="32"/>
    </row>
    <row r="42" spans="1:9" ht="15" customHeight="1" x14ac:dyDescent="0.25">
      <c r="A42" s="254" t="s">
        <v>1</v>
      </c>
      <c r="B42" s="397">
        <f>+C42*$H$3</f>
        <v>8794.17</v>
      </c>
      <c r="C42" s="423">
        <f>+NW!$F$41</f>
        <v>3619</v>
      </c>
      <c r="D42" s="416">
        <f>+NW!B41</f>
        <v>37100</v>
      </c>
      <c r="E42" s="32" t="s">
        <v>87</v>
      </c>
      <c r="F42" s="32" t="s">
        <v>118</v>
      </c>
      <c r="G42" s="32"/>
      <c r="H42" s="32"/>
      <c r="I42" s="32"/>
    </row>
    <row r="43" spans="1:9" ht="15" customHeight="1" x14ac:dyDescent="0.25">
      <c r="A43" s="32" t="s">
        <v>151</v>
      </c>
      <c r="B43" s="393">
        <f>SUM(B32:B42)</f>
        <v>2817372.42</v>
      </c>
      <c r="C43" s="422">
        <f>SUM(C32:C42)</f>
        <v>1063838</v>
      </c>
      <c r="D43" s="416"/>
      <c r="E43" s="32"/>
      <c r="F43" s="32"/>
      <c r="G43" s="32"/>
      <c r="H43" s="32"/>
      <c r="I43" s="32"/>
    </row>
    <row r="44" spans="1:9" ht="18" customHeight="1" x14ac:dyDescent="0.25">
      <c r="A44" s="32"/>
      <c r="B44" s="397"/>
      <c r="C44" s="426"/>
      <c r="D44" s="417"/>
      <c r="E44" s="32"/>
      <c r="F44" s="32"/>
      <c r="G44" s="32"/>
      <c r="H44" s="32"/>
      <c r="I44" s="32"/>
    </row>
    <row r="45" spans="1:9" ht="18" customHeight="1" thickBot="1" x14ac:dyDescent="0.3">
      <c r="A45" s="2" t="s">
        <v>168</v>
      </c>
      <c r="B45" s="402">
        <f>+B43+B29</f>
        <v>5663739.0899999999</v>
      </c>
      <c r="C45" s="427">
        <f>+C43+C29</f>
        <v>2128761.8870040923</v>
      </c>
      <c r="D45" s="205"/>
      <c r="E45" s="32"/>
      <c r="F45" s="32"/>
      <c r="G45" s="32"/>
      <c r="H45" s="32"/>
      <c r="I45" s="32"/>
    </row>
    <row r="46" spans="1:9" ht="13.8" thickTop="1" x14ac:dyDescent="0.25">
      <c r="A46" s="32"/>
      <c r="B46" s="47"/>
      <c r="C46" s="424"/>
      <c r="D46" s="205"/>
      <c r="E46" s="32"/>
      <c r="F46" s="32"/>
      <c r="G46" s="32"/>
      <c r="H46" s="32"/>
      <c r="I46" s="32"/>
    </row>
    <row r="47" spans="1:9" x14ac:dyDescent="0.25">
      <c r="A47" s="32"/>
      <c r="B47" s="47"/>
      <c r="C47" s="428"/>
      <c r="D47" s="32"/>
      <c r="E47" s="32"/>
      <c r="F47" s="32"/>
      <c r="G47" s="32"/>
      <c r="H47" s="32"/>
      <c r="I47" s="32"/>
    </row>
    <row r="48" spans="1:9" x14ac:dyDescent="0.25">
      <c r="A48" s="32"/>
      <c r="B48" s="47"/>
      <c r="C48" s="69"/>
      <c r="D48" s="32"/>
      <c r="E48" s="32"/>
      <c r="F48" s="32"/>
      <c r="G48" s="32"/>
      <c r="H48" s="32"/>
      <c r="I48" s="32"/>
    </row>
    <row r="49" spans="1:9" x14ac:dyDescent="0.25">
      <c r="A49" s="32"/>
      <c r="B49" s="47"/>
      <c r="C49" s="69"/>
      <c r="D49" s="32"/>
      <c r="E49" s="32"/>
      <c r="F49" s="32"/>
      <c r="G49" s="32"/>
      <c r="H49" s="32"/>
      <c r="I49" s="32"/>
    </row>
    <row r="50" spans="1:9" x14ac:dyDescent="0.25">
      <c r="A50" s="2" t="s">
        <v>95</v>
      </c>
      <c r="B50" s="47"/>
      <c r="C50" s="69"/>
      <c r="D50" s="32"/>
      <c r="E50" s="32"/>
      <c r="F50" s="32"/>
      <c r="G50" s="32"/>
      <c r="H50" s="32"/>
      <c r="I50" s="32"/>
    </row>
    <row r="51" spans="1:9" x14ac:dyDescent="0.25">
      <c r="A51" s="32"/>
      <c r="B51" s="47"/>
      <c r="C51" s="69"/>
      <c r="D51" s="32"/>
      <c r="E51" s="32"/>
      <c r="F51" s="32"/>
      <c r="G51" s="32"/>
      <c r="H51" s="32"/>
      <c r="I51" s="32"/>
    </row>
    <row r="52" spans="1:9" x14ac:dyDescent="0.25">
      <c r="A52" s="32"/>
      <c r="B52" s="47"/>
      <c r="C52" s="69"/>
      <c r="D52" s="32"/>
      <c r="E52" s="32"/>
      <c r="F52" s="32"/>
      <c r="G52" s="32"/>
      <c r="H52" s="32"/>
      <c r="I52" s="32"/>
    </row>
    <row r="53" spans="1:9" x14ac:dyDescent="0.25">
      <c r="A53" s="32"/>
      <c r="B53" s="47"/>
      <c r="C53" s="14"/>
      <c r="D53" s="32"/>
      <c r="E53" s="136"/>
      <c r="F53" s="32"/>
      <c r="G53" s="32"/>
      <c r="H53" s="32"/>
      <c r="I53" s="32"/>
    </row>
    <row r="54" spans="1:9" x14ac:dyDescent="0.25">
      <c r="A54" s="32"/>
      <c r="B54" s="47"/>
      <c r="C54" s="69"/>
      <c r="D54" s="32"/>
      <c r="E54" s="32"/>
      <c r="F54" s="32"/>
      <c r="G54" s="32"/>
      <c r="H54" s="32"/>
      <c r="I54" s="32"/>
    </row>
    <row r="55" spans="1:9" x14ac:dyDescent="0.25">
      <c r="A55" s="32"/>
      <c r="B55" s="47"/>
      <c r="C55" s="69"/>
      <c r="D55" s="32"/>
      <c r="E55" s="32"/>
      <c r="F55" s="32"/>
      <c r="G55" s="32"/>
      <c r="H55" s="32"/>
      <c r="I55" s="32"/>
    </row>
    <row r="56" spans="1:9" x14ac:dyDescent="0.25">
      <c r="A56" s="32"/>
      <c r="B56" s="47"/>
      <c r="C56" s="69"/>
      <c r="D56" s="32"/>
      <c r="E56" s="32"/>
      <c r="F56" s="32"/>
      <c r="G56" s="32"/>
      <c r="H56" s="32"/>
      <c r="I56" s="32"/>
    </row>
    <row r="57" spans="1:9" x14ac:dyDescent="0.25">
      <c r="A57" s="32"/>
      <c r="B57" s="47"/>
      <c r="C57" s="69"/>
      <c r="D57" s="32"/>
      <c r="E57" s="32"/>
      <c r="F57" s="32"/>
      <c r="G57" s="32"/>
      <c r="H57" s="32"/>
      <c r="I57" s="32"/>
    </row>
    <row r="58" spans="1:9" x14ac:dyDescent="0.25">
      <c r="A58" s="32"/>
      <c r="B58" s="47"/>
      <c r="C58" s="69"/>
      <c r="D58" s="32"/>
      <c r="E58" s="32"/>
      <c r="F58" s="32"/>
      <c r="G58" s="32"/>
      <c r="H58" s="32"/>
      <c r="I58" s="32"/>
    </row>
    <row r="59" spans="1:9" x14ac:dyDescent="0.25">
      <c r="A59" s="32"/>
      <c r="B59" s="47"/>
      <c r="C59" s="69"/>
      <c r="D59" s="32"/>
      <c r="E59" s="32"/>
      <c r="F59" s="32"/>
      <c r="G59" s="32"/>
      <c r="H59" s="32"/>
      <c r="I59" s="32"/>
    </row>
    <row r="60" spans="1:9" x14ac:dyDescent="0.25">
      <c r="A60" s="32"/>
      <c r="B60" s="404"/>
      <c r="C60" s="405"/>
      <c r="D60" s="32"/>
      <c r="E60" s="32"/>
      <c r="F60" s="32"/>
      <c r="G60" s="32"/>
      <c r="H60" s="32"/>
      <c r="I60" s="32"/>
    </row>
    <row r="61" spans="1:9" x14ac:dyDescent="0.25">
      <c r="A61" s="32"/>
      <c r="B61" s="14"/>
      <c r="C61" s="69"/>
      <c r="D61" s="32"/>
      <c r="E61" s="32"/>
      <c r="F61" s="32"/>
      <c r="G61" s="32"/>
      <c r="H61" s="32"/>
      <c r="I61" s="32"/>
    </row>
    <row r="62" spans="1:9" x14ac:dyDescent="0.25">
      <c r="A62" s="32"/>
      <c r="B62" s="14"/>
      <c r="C62" s="69"/>
      <c r="D62" s="32"/>
      <c r="E62" s="32"/>
      <c r="F62" s="32"/>
      <c r="G62" s="32"/>
      <c r="H62" s="32"/>
      <c r="I62" s="32"/>
    </row>
    <row r="63" spans="1:9" x14ac:dyDescent="0.25">
      <c r="A63" s="32"/>
      <c r="B63" s="14"/>
      <c r="C63" s="69"/>
      <c r="D63" s="32"/>
      <c r="E63" s="32"/>
      <c r="F63" s="32"/>
      <c r="G63" s="32"/>
      <c r="H63" s="32"/>
      <c r="I63" s="32"/>
    </row>
    <row r="64" spans="1:9" x14ac:dyDescent="0.25">
      <c r="A64" s="32"/>
      <c r="B64" s="14"/>
      <c r="C64" s="69"/>
      <c r="D64" s="70"/>
      <c r="E64" s="32"/>
      <c r="F64" s="32"/>
      <c r="G64" s="32"/>
      <c r="H64" s="32"/>
      <c r="I64" s="32"/>
    </row>
    <row r="65" spans="1:9" x14ac:dyDescent="0.25">
      <c r="A65" s="32"/>
      <c r="B65" s="14"/>
      <c r="C65" s="307"/>
      <c r="D65" s="32"/>
      <c r="E65" s="32"/>
      <c r="F65" s="32"/>
      <c r="G65" s="32"/>
      <c r="H65" s="32"/>
      <c r="I65" s="32"/>
    </row>
    <row r="66" spans="1:9" x14ac:dyDescent="0.25">
      <c r="A66" s="32"/>
      <c r="B66" s="14"/>
      <c r="C66" s="307"/>
      <c r="D66" s="413"/>
      <c r="E66" s="408"/>
      <c r="F66" s="32"/>
      <c r="G66" s="32"/>
      <c r="H66" s="32"/>
      <c r="I66" s="32"/>
    </row>
    <row r="67" spans="1:9" x14ac:dyDescent="0.25">
      <c r="A67" s="32"/>
      <c r="B67" s="14"/>
      <c r="C67" s="307"/>
      <c r="D67" s="15"/>
      <c r="E67" s="32"/>
      <c r="F67" s="32"/>
      <c r="G67" s="32"/>
      <c r="H67" s="32"/>
      <c r="I67" s="32"/>
    </row>
    <row r="68" spans="1:9" x14ac:dyDescent="0.25">
      <c r="A68" s="32"/>
      <c r="B68" s="14"/>
      <c r="C68" s="307"/>
      <c r="D68" s="15"/>
      <c r="E68" s="32"/>
      <c r="F68" s="32"/>
      <c r="G68" s="32"/>
      <c r="H68" s="32"/>
      <c r="I68" s="32"/>
    </row>
    <row r="69" spans="1:9" x14ac:dyDescent="0.25">
      <c r="A69" s="32"/>
      <c r="B69" s="14"/>
      <c r="C69" s="307"/>
      <c r="D69" s="16"/>
      <c r="E69" s="32"/>
      <c r="F69" s="32"/>
      <c r="G69" s="32"/>
      <c r="H69" s="32"/>
      <c r="I69" s="32"/>
    </row>
    <row r="70" spans="1:9" x14ac:dyDescent="0.25">
      <c r="A70" s="32"/>
      <c r="B70" s="14"/>
      <c r="C70" s="307"/>
      <c r="D70" s="240"/>
      <c r="E70" s="32"/>
      <c r="F70" s="32"/>
      <c r="G70" s="32"/>
      <c r="H70" s="32"/>
      <c r="I70" s="32"/>
    </row>
    <row r="71" spans="1:9" x14ac:dyDescent="0.25">
      <c r="A71" s="32"/>
      <c r="B71" s="412"/>
      <c r="C71" s="69"/>
      <c r="D71" s="32"/>
      <c r="E71" s="32"/>
      <c r="F71" s="32"/>
      <c r="G71" s="32"/>
      <c r="H71" s="32"/>
      <c r="I71" s="32"/>
    </row>
    <row r="72" spans="1:9" x14ac:dyDescent="0.25">
      <c r="A72" s="32"/>
      <c r="B72" s="412"/>
      <c r="C72" s="69"/>
      <c r="D72" s="70"/>
      <c r="E72" s="32"/>
      <c r="F72" s="32"/>
      <c r="G72" s="32"/>
      <c r="H72" s="32"/>
      <c r="I72" s="32"/>
    </row>
    <row r="73" spans="1:9" x14ac:dyDescent="0.25">
      <c r="A73" s="32"/>
      <c r="B73" s="413"/>
      <c r="C73" s="14"/>
      <c r="D73" s="32"/>
      <c r="E73" s="32"/>
      <c r="F73" s="32"/>
      <c r="G73" s="32"/>
      <c r="H73" s="32"/>
      <c r="I73" s="32"/>
    </row>
    <row r="74" spans="1:9" x14ac:dyDescent="0.25">
      <c r="A74" s="32"/>
      <c r="B74" s="413"/>
      <c r="C74" s="14"/>
      <c r="D74" s="32"/>
      <c r="E74" s="32"/>
      <c r="F74" s="32"/>
      <c r="G74" s="32"/>
      <c r="H74" s="32"/>
      <c r="I74" s="32"/>
    </row>
    <row r="75" spans="1:9" x14ac:dyDescent="0.25">
      <c r="A75" s="32"/>
      <c r="B75" s="412"/>
      <c r="C75" s="14"/>
      <c r="D75" s="70"/>
      <c r="E75" s="32"/>
      <c r="F75" s="32"/>
      <c r="G75" s="32"/>
      <c r="H75" s="32"/>
      <c r="I75" s="32"/>
    </row>
    <row r="76" spans="1:9" x14ac:dyDescent="0.25">
      <c r="A76" s="32"/>
      <c r="B76" s="412"/>
      <c r="C76" s="69"/>
      <c r="D76" s="70"/>
      <c r="E76" s="32"/>
      <c r="F76" s="32"/>
      <c r="G76" s="32"/>
      <c r="H76" s="32"/>
      <c r="I76" s="32"/>
    </row>
    <row r="77" spans="1:9" x14ac:dyDescent="0.25">
      <c r="A77" s="32"/>
      <c r="B77" s="412"/>
      <c r="C77" s="69"/>
      <c r="D77" s="32"/>
      <c r="E77" s="32"/>
      <c r="F77" s="32"/>
      <c r="G77" s="32"/>
      <c r="H77" s="32"/>
      <c r="I77" s="32"/>
    </row>
    <row r="78" spans="1:9" x14ac:dyDescent="0.25">
      <c r="A78" s="32"/>
      <c r="B78" s="404"/>
      <c r="C78" s="414"/>
      <c r="D78" s="32"/>
      <c r="E78" s="32"/>
      <c r="F78" s="32"/>
      <c r="G78" s="32"/>
      <c r="H78" s="32"/>
      <c r="I78" s="32"/>
    </row>
    <row r="79" spans="1:9" x14ac:dyDescent="0.25">
      <c r="A79" s="32"/>
      <c r="B79" s="47"/>
      <c r="C79" s="69"/>
      <c r="D79" s="32"/>
      <c r="E79" s="32"/>
      <c r="F79" s="32"/>
      <c r="G79" s="32"/>
      <c r="H79" s="32"/>
      <c r="I79" s="32"/>
    </row>
    <row r="80" spans="1:9" x14ac:dyDescent="0.25">
      <c r="A80" s="32"/>
      <c r="B80" s="47"/>
      <c r="C80" s="69"/>
      <c r="D80" s="32"/>
      <c r="E80" s="32"/>
      <c r="F80" s="32"/>
      <c r="G80" s="32"/>
      <c r="H80" s="32"/>
      <c r="I80" s="32"/>
    </row>
    <row r="81" spans="1:9" x14ac:dyDescent="0.25">
      <c r="A81" s="32"/>
      <c r="B81" s="47"/>
      <c r="C81" s="69"/>
      <c r="D81" s="32"/>
      <c r="E81" s="32"/>
      <c r="F81" s="32"/>
      <c r="G81" s="32"/>
      <c r="H81" s="32"/>
      <c r="I81" s="32"/>
    </row>
    <row r="82" spans="1:9" x14ac:dyDescent="0.25">
      <c r="A82" s="32"/>
      <c r="B82" s="47"/>
      <c r="C82" s="69"/>
      <c r="D82" s="32"/>
      <c r="E82" s="32"/>
      <c r="F82" s="32"/>
      <c r="G82" s="32"/>
      <c r="H82" s="32"/>
      <c r="I82" s="32"/>
    </row>
    <row r="83" spans="1:9" x14ac:dyDescent="0.25">
      <c r="A83" s="32"/>
      <c r="B83" s="47"/>
      <c r="C83" s="69"/>
      <c r="D83" s="32"/>
      <c r="E83" s="32"/>
      <c r="F83" s="32"/>
      <c r="G83" s="32"/>
      <c r="H83" s="32"/>
      <c r="I83" s="32"/>
    </row>
    <row r="84" spans="1:9" x14ac:dyDescent="0.25">
      <c r="A84" s="32"/>
      <c r="B84" s="47"/>
      <c r="C84" s="69"/>
      <c r="D84" s="32"/>
      <c r="E84" s="32"/>
      <c r="F84" s="32"/>
      <c r="G84" s="32"/>
      <c r="H84" s="32"/>
      <c r="I84" s="32"/>
    </row>
    <row r="85" spans="1:9" x14ac:dyDescent="0.25">
      <c r="A85" s="32"/>
      <c r="B85" s="47"/>
      <c r="C85" s="69"/>
      <c r="D85" s="32"/>
      <c r="E85" s="32"/>
      <c r="F85" s="32"/>
      <c r="G85" s="32"/>
      <c r="H85" s="32"/>
      <c r="I85" s="32"/>
    </row>
    <row r="86" spans="1:9" x14ac:dyDescent="0.25">
      <c r="A86" s="32"/>
      <c r="B86" s="47"/>
      <c r="C86" s="69"/>
      <c r="D86" s="32"/>
      <c r="E86" s="32"/>
      <c r="F86" s="32"/>
      <c r="G86" s="32"/>
      <c r="H86" s="32"/>
      <c r="I86" s="32"/>
    </row>
    <row r="87" spans="1:9" x14ac:dyDescent="0.25">
      <c r="A87" s="32"/>
      <c r="B87" s="47"/>
      <c r="C87" s="69"/>
      <c r="D87" s="32"/>
      <c r="E87" s="32"/>
      <c r="F87" s="32"/>
      <c r="G87" s="32"/>
      <c r="H87" s="32"/>
      <c r="I87" s="32"/>
    </row>
    <row r="88" spans="1:9" x14ac:dyDescent="0.25">
      <c r="A88" s="32"/>
      <c r="B88" s="47"/>
      <c r="C88" s="69"/>
      <c r="D88" s="32"/>
      <c r="E88" s="32"/>
      <c r="F88" s="32"/>
      <c r="G88" s="32"/>
      <c r="H88" s="32"/>
      <c r="I88" s="32"/>
    </row>
    <row r="89" spans="1:9" x14ac:dyDescent="0.25">
      <c r="A89" s="32"/>
      <c r="B89" s="47"/>
      <c r="C89" s="69"/>
      <c r="D89" s="32"/>
      <c r="E89" s="32"/>
      <c r="F89" s="32"/>
      <c r="G89" s="32"/>
      <c r="H89" s="32"/>
      <c r="I89" s="32"/>
    </row>
    <row r="90" spans="1:9" x14ac:dyDescent="0.25">
      <c r="A90" s="32"/>
      <c r="B90" s="47"/>
      <c r="C90" s="69"/>
      <c r="D90" s="32"/>
      <c r="E90" s="32"/>
      <c r="F90" s="32"/>
      <c r="G90" s="32"/>
      <c r="H90" s="32"/>
      <c r="I90" s="32"/>
    </row>
    <row r="91" spans="1:9" x14ac:dyDescent="0.25">
      <c r="A91" s="32"/>
      <c r="B91" s="47"/>
      <c r="C91" s="69"/>
      <c r="D91" s="32"/>
      <c r="E91" s="32"/>
      <c r="F91" s="32"/>
      <c r="G91" s="32"/>
      <c r="H91" s="32"/>
      <c r="I91" s="32"/>
    </row>
    <row r="92" spans="1:9" x14ac:dyDescent="0.25">
      <c r="A92" s="32"/>
      <c r="B92" s="47"/>
      <c r="C92" s="69"/>
      <c r="D92" s="32"/>
      <c r="E92" s="32"/>
      <c r="F92" s="32"/>
      <c r="G92" s="32"/>
      <c r="H92" s="32"/>
      <c r="I92" s="32"/>
    </row>
    <row r="93" spans="1:9" x14ac:dyDescent="0.25">
      <c r="A93" s="32"/>
      <c r="B93" s="47"/>
      <c r="C93" s="69"/>
      <c r="D93" s="32"/>
      <c r="E93" s="32"/>
      <c r="F93" s="32"/>
      <c r="G93" s="32"/>
      <c r="H93" s="32"/>
      <c r="I93" s="32"/>
    </row>
    <row r="94" spans="1:9" x14ac:dyDescent="0.25">
      <c r="A94" s="32"/>
      <c r="B94" s="47"/>
      <c r="C94" s="69"/>
      <c r="D94" s="32"/>
      <c r="E94" s="32"/>
      <c r="F94" s="32"/>
      <c r="G94" s="32"/>
      <c r="H94" s="32"/>
      <c r="I94" s="32"/>
    </row>
    <row r="95" spans="1:9" x14ac:dyDescent="0.25">
      <c r="A95" s="32"/>
      <c r="B95" s="47"/>
      <c r="C95" s="69"/>
      <c r="D95" s="32"/>
      <c r="E95" s="32"/>
      <c r="F95" s="32"/>
      <c r="G95" s="32"/>
      <c r="H95" s="32"/>
      <c r="I95" s="32"/>
    </row>
    <row r="96" spans="1:9" x14ac:dyDescent="0.25">
      <c r="A96" s="32"/>
      <c r="B96" s="47"/>
      <c r="C96" s="69"/>
      <c r="D96" s="32"/>
      <c r="E96" s="32"/>
      <c r="F96" s="32"/>
      <c r="G96" s="32"/>
      <c r="H96" s="32"/>
      <c r="I96" s="32"/>
    </row>
    <row r="97" spans="1:9" x14ac:dyDescent="0.25">
      <c r="A97" s="32"/>
      <c r="B97" s="47"/>
      <c r="C97" s="69"/>
      <c r="D97" s="32"/>
      <c r="E97" s="32"/>
      <c r="F97" s="32"/>
      <c r="G97" s="32"/>
      <c r="H97" s="32"/>
      <c r="I97" s="32"/>
    </row>
    <row r="98" spans="1:9" x14ac:dyDescent="0.25">
      <c r="A98" s="32"/>
      <c r="B98" s="47"/>
      <c r="C98" s="69"/>
      <c r="D98" s="32"/>
      <c r="E98" s="32"/>
      <c r="F98" s="32"/>
      <c r="G98" s="32"/>
      <c r="H98" s="32"/>
      <c r="I98" s="32"/>
    </row>
    <row r="99" spans="1:9" x14ac:dyDescent="0.25">
      <c r="A99" s="32"/>
      <c r="B99" s="47"/>
      <c r="C99" s="69"/>
      <c r="D99" s="32"/>
      <c r="E99" s="32"/>
      <c r="F99" s="32"/>
      <c r="G99" s="32"/>
      <c r="H99" s="32"/>
      <c r="I99" s="32"/>
    </row>
    <row r="100" spans="1:9" x14ac:dyDescent="0.25">
      <c r="A100" s="32"/>
      <c r="B100" s="47"/>
      <c r="C100" s="69"/>
      <c r="D100" s="32"/>
      <c r="E100" s="32"/>
      <c r="F100" s="32"/>
      <c r="G100" s="32"/>
      <c r="H100" s="32"/>
      <c r="I100" s="32"/>
    </row>
    <row r="101" spans="1:9" x14ac:dyDescent="0.25">
      <c r="A101" s="32"/>
      <c r="B101" s="47"/>
      <c r="C101" s="69"/>
      <c r="D101" s="32"/>
      <c r="E101" s="32"/>
      <c r="F101" s="32"/>
      <c r="G101" s="32"/>
      <c r="H101" s="32"/>
      <c r="I101" s="32"/>
    </row>
    <row r="102" spans="1:9" x14ac:dyDescent="0.25">
      <c r="A102" s="32"/>
      <c r="B102" s="47"/>
      <c r="C102" s="69"/>
      <c r="D102" s="32"/>
      <c r="E102" s="32"/>
      <c r="F102" s="32"/>
      <c r="G102" s="32"/>
      <c r="H102" s="32"/>
      <c r="I102" s="32"/>
    </row>
    <row r="103" spans="1:9" x14ac:dyDescent="0.25">
      <c r="A103" s="32"/>
      <c r="B103" s="47"/>
      <c r="C103" s="69"/>
      <c r="D103" s="32"/>
      <c r="E103" s="32"/>
      <c r="F103" s="32"/>
      <c r="G103" s="32"/>
      <c r="H103" s="32"/>
      <c r="I103" s="32"/>
    </row>
    <row r="104" spans="1:9" x14ac:dyDescent="0.25">
      <c r="A104" s="32"/>
      <c r="B104" s="47"/>
      <c r="C104" s="69"/>
      <c r="D104" s="32"/>
      <c r="E104" s="32"/>
      <c r="F104" s="32"/>
      <c r="G104" s="32"/>
      <c r="H104" s="32"/>
      <c r="I104" s="32"/>
    </row>
    <row r="105" spans="1:9" x14ac:dyDescent="0.25">
      <c r="A105" s="32"/>
      <c r="B105" s="47"/>
      <c r="C105" s="69"/>
      <c r="D105" s="32"/>
      <c r="E105" s="32"/>
      <c r="F105" s="32"/>
      <c r="G105" s="32"/>
      <c r="H105" s="32"/>
      <c r="I105" s="32"/>
    </row>
    <row r="106" spans="1:9" x14ac:dyDescent="0.25">
      <c r="A106" s="32"/>
      <c r="B106" s="47"/>
      <c r="C106" s="69"/>
      <c r="D106" s="32"/>
      <c r="E106" s="32"/>
      <c r="F106" s="32"/>
      <c r="G106" s="32"/>
      <c r="H106" s="32"/>
      <c r="I106" s="32"/>
    </row>
    <row r="107" spans="1:9" x14ac:dyDescent="0.25">
      <c r="A107" s="32"/>
      <c r="B107" s="47"/>
      <c r="C107" s="69"/>
      <c r="D107" s="32"/>
      <c r="E107" s="32"/>
      <c r="F107" s="32"/>
      <c r="G107" s="32"/>
      <c r="H107" s="32"/>
      <c r="I107" s="32"/>
    </row>
    <row r="108" spans="1:9" x14ac:dyDescent="0.25">
      <c r="A108" s="32"/>
      <c r="B108" s="47"/>
      <c r="C108" s="69"/>
      <c r="D108" s="32"/>
      <c r="E108" s="32"/>
      <c r="F108" s="32"/>
      <c r="G108" s="32"/>
      <c r="H108" s="32"/>
      <c r="I108" s="32"/>
    </row>
    <row r="109" spans="1:9" x14ac:dyDescent="0.25">
      <c r="A109" s="32"/>
      <c r="B109" s="47"/>
      <c r="C109" s="69"/>
      <c r="D109" s="32"/>
      <c r="E109" s="32"/>
      <c r="F109" s="32"/>
      <c r="G109" s="32"/>
      <c r="H109" s="32"/>
      <c r="I109" s="32"/>
    </row>
    <row r="110" spans="1:9" x14ac:dyDescent="0.25">
      <c r="A110" s="32"/>
      <c r="B110" s="47"/>
      <c r="C110" s="69"/>
      <c r="D110" s="32"/>
      <c r="E110" s="32"/>
      <c r="F110" s="32"/>
      <c r="G110" s="32"/>
      <c r="H110" s="32"/>
      <c r="I110" s="32"/>
    </row>
  </sheetData>
  <phoneticPr fontId="0" type="noConversion"/>
  <pageMargins left="0" right="0" top="0" bottom="0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24" workbookViewId="3">
      <selection activeCell="B36" sqref="B36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1"/>
      <c r="J6" s="280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5"/>
      <c r="J7" s="279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171921</v>
      </c>
      <c r="C8" s="11">
        <v>173730</v>
      </c>
      <c r="D8" s="11">
        <v>13339</v>
      </c>
      <c r="E8" s="11">
        <v>13033</v>
      </c>
      <c r="F8" s="11">
        <f>+C8-B8+E8-D8</f>
        <v>1503</v>
      </c>
      <c r="G8" s="143"/>
      <c r="H8" s="139"/>
      <c r="I8" s="275"/>
      <c r="J8" s="279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143612</v>
      </c>
      <c r="C9" s="11">
        <v>143853</v>
      </c>
      <c r="D9" s="11">
        <v>13690</v>
      </c>
      <c r="E9" s="11">
        <v>13033</v>
      </c>
      <c r="F9" s="11">
        <f t="shared" ref="F9:F39" si="5">+C9-B9+E9-D9</f>
        <v>-416</v>
      </c>
      <c r="G9" s="143"/>
      <c r="H9" s="139"/>
      <c r="I9" s="275"/>
      <c r="J9" s="279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151374</v>
      </c>
      <c r="C10" s="11">
        <v>153334</v>
      </c>
      <c r="D10" s="11">
        <v>13778</v>
      </c>
      <c r="E10" s="11">
        <v>13033</v>
      </c>
      <c r="F10" s="11">
        <f t="shared" si="5"/>
        <v>1215</v>
      </c>
      <c r="G10" s="143"/>
      <c r="H10" s="139"/>
      <c r="I10" s="275"/>
      <c r="J10" s="279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145410</v>
      </c>
      <c r="C11" s="11">
        <v>145396</v>
      </c>
      <c r="D11" s="11">
        <v>13396</v>
      </c>
      <c r="E11" s="11">
        <v>12163</v>
      </c>
      <c r="F11" s="11">
        <f t="shared" si="5"/>
        <v>-1247</v>
      </c>
      <c r="G11" s="143"/>
      <c r="H11" s="139"/>
      <c r="I11" s="282"/>
      <c r="J11" s="279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120413</v>
      </c>
      <c r="C12" s="11">
        <v>119624</v>
      </c>
      <c r="D12" s="11">
        <v>11767</v>
      </c>
      <c r="E12" s="11">
        <v>10267</v>
      </c>
      <c r="F12" s="11">
        <f t="shared" si="5"/>
        <v>-2289</v>
      </c>
      <c r="G12" s="143"/>
      <c r="H12" s="139"/>
      <c r="I12" s="279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148882</v>
      </c>
      <c r="C13" s="11">
        <v>150000</v>
      </c>
      <c r="D13" s="11">
        <v>11932</v>
      </c>
      <c r="E13" s="11">
        <v>14036</v>
      </c>
      <c r="F13" s="11">
        <f t="shared" si="5"/>
        <v>3222</v>
      </c>
      <c r="G13" s="143"/>
      <c r="H13" s="139"/>
      <c r="I13" s="279"/>
      <c r="J13" s="279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185662</v>
      </c>
      <c r="C14" s="11">
        <v>189141</v>
      </c>
      <c r="D14" s="11">
        <v>13425</v>
      </c>
      <c r="E14" s="11">
        <v>13033</v>
      </c>
      <c r="F14" s="11">
        <f t="shared" si="5"/>
        <v>3087</v>
      </c>
      <c r="G14" s="143"/>
      <c r="H14" s="139"/>
      <c r="I14" s="279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169546</v>
      </c>
      <c r="C15" s="11">
        <v>169049</v>
      </c>
      <c r="D15" s="11">
        <v>13039</v>
      </c>
      <c r="E15" s="11">
        <v>13033</v>
      </c>
      <c r="F15" s="11">
        <f t="shared" si="5"/>
        <v>-503</v>
      </c>
      <c r="G15" s="143"/>
      <c r="H15" s="139"/>
      <c r="I15" s="279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216217</v>
      </c>
      <c r="C16" s="11">
        <v>204000</v>
      </c>
      <c r="D16" s="11">
        <v>14418</v>
      </c>
      <c r="E16" s="11">
        <v>14036</v>
      </c>
      <c r="F16" s="11">
        <f t="shared" si="5"/>
        <v>-12599</v>
      </c>
      <c r="G16" s="143"/>
      <c r="H16" s="139"/>
      <c r="I16" s="279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241083</v>
      </c>
      <c r="C17" s="11">
        <v>251279</v>
      </c>
      <c r="D17" s="11">
        <v>13187</v>
      </c>
      <c r="E17" s="11">
        <v>13953</v>
      </c>
      <c r="F17" s="11">
        <f t="shared" si="5"/>
        <v>10962</v>
      </c>
      <c r="G17" s="143"/>
      <c r="H17" s="139"/>
      <c r="I17" s="279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174470</v>
      </c>
      <c r="C18" s="11">
        <v>161086</v>
      </c>
      <c r="D18" s="11">
        <v>14425</v>
      </c>
      <c r="E18" s="11">
        <v>14036</v>
      </c>
      <c r="F18" s="11">
        <f t="shared" si="5"/>
        <v>-13773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172191</v>
      </c>
      <c r="C19" s="11">
        <v>168000</v>
      </c>
      <c r="D19" s="11">
        <v>13605</v>
      </c>
      <c r="E19" s="11">
        <v>14036</v>
      </c>
      <c r="F19" s="11">
        <f t="shared" si="5"/>
        <v>-3760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139663</v>
      </c>
      <c r="C20" s="11">
        <v>138000</v>
      </c>
      <c r="D20" s="11">
        <v>13104</v>
      </c>
      <c r="E20" s="11">
        <v>13033</v>
      </c>
      <c r="F20" s="11">
        <f t="shared" si="5"/>
        <v>-1734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>
        <v>146956</v>
      </c>
      <c r="C21" s="11">
        <v>149289</v>
      </c>
      <c r="D21" s="11">
        <v>12959</v>
      </c>
      <c r="E21" s="11">
        <v>13033</v>
      </c>
      <c r="F21" s="11">
        <f t="shared" si="5"/>
        <v>2407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>
        <v>148293</v>
      </c>
      <c r="C22" s="11">
        <v>149289</v>
      </c>
      <c r="D22" s="11">
        <v>13350</v>
      </c>
      <c r="E22" s="11">
        <v>13033</v>
      </c>
      <c r="F22" s="11">
        <f t="shared" si="5"/>
        <v>679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>
        <v>145690</v>
      </c>
      <c r="C23" s="11">
        <v>145255</v>
      </c>
      <c r="D23" s="11">
        <v>13690</v>
      </c>
      <c r="E23" s="11">
        <v>13033</v>
      </c>
      <c r="F23" s="11">
        <f t="shared" si="5"/>
        <v>-1092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>
        <v>143805</v>
      </c>
      <c r="C24" s="11">
        <v>144293</v>
      </c>
      <c r="D24" s="11">
        <v>13379</v>
      </c>
      <c r="E24" s="11">
        <v>13033</v>
      </c>
      <c r="F24" s="11">
        <f t="shared" si="5"/>
        <v>142</v>
      </c>
      <c r="G24" s="277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>
        <v>143267</v>
      </c>
      <c r="C25" s="11">
        <v>144258</v>
      </c>
      <c r="D25" s="11">
        <v>11774</v>
      </c>
      <c r="E25" s="11">
        <v>12915</v>
      </c>
      <c r="F25" s="11">
        <f t="shared" si="5"/>
        <v>2132</v>
      </c>
      <c r="G25" s="322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>
        <v>144188</v>
      </c>
      <c r="C26" s="11">
        <v>145972</v>
      </c>
      <c r="D26" s="11">
        <v>6482</v>
      </c>
      <c r="E26" s="11">
        <v>12951</v>
      </c>
      <c r="F26" s="11">
        <f t="shared" si="5"/>
        <v>8253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>
        <v>129177</v>
      </c>
      <c r="C27" s="11">
        <v>129379</v>
      </c>
      <c r="D27" s="11">
        <v>157</v>
      </c>
      <c r="E27" s="11">
        <v>6450</v>
      </c>
      <c r="F27" s="11">
        <f t="shared" si="5"/>
        <v>6495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>
        <v>149123</v>
      </c>
      <c r="C28" s="150">
        <v>149357</v>
      </c>
      <c r="D28" s="150"/>
      <c r="E28" s="150">
        <v>13033</v>
      </c>
      <c r="F28" s="11">
        <f t="shared" si="5"/>
        <v>13267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>
        <v>150266</v>
      </c>
      <c r="C29" s="150">
        <v>150568</v>
      </c>
      <c r="D29" s="150"/>
      <c r="E29" s="150"/>
      <c r="F29" s="11">
        <f t="shared" si="5"/>
        <v>302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>
        <v>150935</v>
      </c>
      <c r="C30" s="150">
        <v>151895</v>
      </c>
      <c r="D30" s="150">
        <v>12715</v>
      </c>
      <c r="E30" s="150">
        <v>501</v>
      </c>
      <c r="F30" s="11">
        <f t="shared" si="5"/>
        <v>-11254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>
        <v>134073</v>
      </c>
      <c r="C31" s="150">
        <v>134885</v>
      </c>
      <c r="D31" s="150">
        <v>13078</v>
      </c>
      <c r="E31" s="150">
        <v>7990</v>
      </c>
      <c r="F31" s="11">
        <f t="shared" si="5"/>
        <v>-4276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>
        <v>127263</v>
      </c>
      <c r="C32" s="150">
        <v>126253</v>
      </c>
      <c r="D32" s="150">
        <v>12714</v>
      </c>
      <c r="E32" s="150">
        <v>13033</v>
      </c>
      <c r="F32" s="11">
        <f t="shared" si="5"/>
        <v>-691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>
        <v>128115</v>
      </c>
      <c r="C33" s="150">
        <v>127613</v>
      </c>
      <c r="D33" s="150">
        <v>13191</v>
      </c>
      <c r="E33" s="150">
        <v>13033</v>
      </c>
      <c r="F33" s="11">
        <f t="shared" si="5"/>
        <v>-660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>
        <v>146140</v>
      </c>
      <c r="C34" s="150">
        <v>144904</v>
      </c>
      <c r="D34" s="150">
        <v>13104</v>
      </c>
      <c r="E34" s="150">
        <v>13033</v>
      </c>
      <c r="F34" s="11">
        <f t="shared" si="5"/>
        <v>-1307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>
        <v>123395</v>
      </c>
      <c r="C35" s="150">
        <v>125596</v>
      </c>
      <c r="D35" s="150">
        <v>13124</v>
      </c>
      <c r="E35" s="150">
        <v>13033</v>
      </c>
      <c r="F35" s="11">
        <f t="shared" si="5"/>
        <v>2110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4291130</v>
      </c>
      <c r="C39" s="150">
        <f>SUM(C8:C38)</f>
        <v>4285298</v>
      </c>
      <c r="D39" s="150">
        <f>SUM(D8:D38)</f>
        <v>322822</v>
      </c>
      <c r="E39" s="150">
        <f>SUM(E8:E38)</f>
        <v>328829</v>
      </c>
      <c r="F39" s="11">
        <f t="shared" si="5"/>
        <v>175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>
        <f>+summary!H3</f>
        <v>2.4300000000000002</v>
      </c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2">
        <f>+F40*F39</f>
        <v>425.25</v>
      </c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37072</v>
      </c>
      <c r="C42" s="153"/>
      <c r="D42" s="153"/>
      <c r="E42" s="153"/>
      <c r="F42" s="387">
        <v>674043.68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37100</v>
      </c>
      <c r="C43" s="142"/>
      <c r="D43" s="142"/>
      <c r="E43" s="142"/>
      <c r="F43" s="252">
        <f>+F42+F41</f>
        <v>674468.93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158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42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8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8:48" ht="13.8" thickTop="1" x14ac:dyDescent="0.25"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8:48" x14ac:dyDescent="0.25"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8:48" x14ac:dyDescent="0.25"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8:48" x14ac:dyDescent="0.25"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8:48" x14ac:dyDescent="0.25"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8:48" x14ac:dyDescent="0.25"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8:48" x14ac:dyDescent="0.25"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8:48" x14ac:dyDescent="0.25"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8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8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8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8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8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8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8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8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3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1" workbookViewId="3">
      <selection activeCell="B41" sqref="B41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-137341</v>
      </c>
      <c r="C5" s="24">
        <v>-136796</v>
      </c>
      <c r="D5" s="24">
        <f>+C5-B5</f>
        <v>545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-125680</v>
      </c>
      <c r="C6" s="51">
        <v>-124374</v>
      </c>
      <c r="D6" s="24">
        <f t="shared" ref="D6:D36" si="0">+C6-B6</f>
        <v>1306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-103730</v>
      </c>
      <c r="C7" s="51">
        <v>-110538</v>
      </c>
      <c r="D7" s="24">
        <f t="shared" si="0"/>
        <v>-6808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-64504</v>
      </c>
      <c r="C8" s="51">
        <v>-65000</v>
      </c>
      <c r="D8" s="24">
        <f t="shared" si="0"/>
        <v>-496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-65339</v>
      </c>
      <c r="C9" s="24">
        <v>-64480</v>
      </c>
      <c r="D9" s="24">
        <f t="shared" si="0"/>
        <v>859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-110873</v>
      </c>
      <c r="C10" s="24">
        <v>-111438</v>
      </c>
      <c r="D10" s="24">
        <f t="shared" si="0"/>
        <v>-565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-104259</v>
      </c>
      <c r="C11" s="24">
        <v>-103558</v>
      </c>
      <c r="D11" s="24">
        <f t="shared" si="0"/>
        <v>701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-123476</v>
      </c>
      <c r="C12" s="51">
        <v>-123233</v>
      </c>
      <c r="D12" s="24">
        <f t="shared" si="0"/>
        <v>243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-115393</v>
      </c>
      <c r="C13" s="24">
        <v>-114855</v>
      </c>
      <c r="D13" s="24">
        <f t="shared" si="0"/>
        <v>538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-91816</v>
      </c>
      <c r="C14" s="24">
        <v>-91920</v>
      </c>
      <c r="D14" s="24">
        <f t="shared" si="0"/>
        <v>-104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-44422</v>
      </c>
      <c r="C15" s="24">
        <v>-44371</v>
      </c>
      <c r="D15" s="24">
        <f t="shared" si="0"/>
        <v>51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-18430</v>
      </c>
      <c r="C16" s="24">
        <v>-18414</v>
      </c>
      <c r="D16" s="24">
        <f t="shared" si="0"/>
        <v>16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-44797</v>
      </c>
      <c r="C17" s="24">
        <v>-44092</v>
      </c>
      <c r="D17" s="24">
        <f t="shared" si="0"/>
        <v>705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-194555</v>
      </c>
      <c r="C18" s="24">
        <v>-194162</v>
      </c>
      <c r="D18" s="24">
        <f t="shared" si="0"/>
        <v>393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-206012</v>
      </c>
      <c r="C19" s="24">
        <v>-204162</v>
      </c>
      <c r="D19" s="24">
        <f t="shared" si="0"/>
        <v>1850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-194790</v>
      </c>
      <c r="C20" s="24">
        <v>-194162</v>
      </c>
      <c r="D20" s="24">
        <f t="shared" si="0"/>
        <v>628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-77025</v>
      </c>
      <c r="C21" s="24">
        <v>-77300</v>
      </c>
      <c r="D21" s="24">
        <f t="shared" si="0"/>
        <v>-275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-126017</v>
      </c>
      <c r="C22" s="24">
        <v>-123466</v>
      </c>
      <c r="D22" s="24">
        <f t="shared" si="0"/>
        <v>2551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-94130</v>
      </c>
      <c r="C23" s="24">
        <v>-93379</v>
      </c>
      <c r="D23" s="24">
        <f t="shared" si="0"/>
        <v>751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>
        <v>-116887</v>
      </c>
      <c r="C24" s="24">
        <v>-116464</v>
      </c>
      <c r="D24" s="24">
        <f t="shared" si="0"/>
        <v>423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>
        <v>-126531</v>
      </c>
      <c r="C25" s="24">
        <v>-124368</v>
      </c>
      <c r="D25" s="24">
        <f t="shared" si="0"/>
        <v>2163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>
        <v>-109715</v>
      </c>
      <c r="C26" s="24">
        <v>-109429</v>
      </c>
      <c r="D26" s="24">
        <f t="shared" si="0"/>
        <v>286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>
        <v>-100746</v>
      </c>
      <c r="C27" s="24">
        <v>-99430</v>
      </c>
      <c r="D27" s="24">
        <f t="shared" si="0"/>
        <v>1316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>
        <v>-80474</v>
      </c>
      <c r="C28" s="24">
        <v>-80000</v>
      </c>
      <c r="D28" s="24">
        <f t="shared" si="0"/>
        <v>474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>
        <v>-95281</v>
      </c>
      <c r="C29" s="24">
        <v>-93844</v>
      </c>
      <c r="D29" s="24">
        <f t="shared" si="0"/>
        <v>1437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>
        <v>-96315</v>
      </c>
      <c r="C30" s="24">
        <v>-95758</v>
      </c>
      <c r="D30" s="24">
        <f t="shared" si="0"/>
        <v>557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>
        <v>-79910</v>
      </c>
      <c r="C31" s="24">
        <v>-79523</v>
      </c>
      <c r="D31" s="24">
        <f t="shared" si="0"/>
        <v>387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>
        <v>-113521</v>
      </c>
      <c r="C32" s="24">
        <v>-112302</v>
      </c>
      <c r="D32" s="24">
        <f t="shared" si="0"/>
        <v>1219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6"/>
      <c r="W34" s="306"/>
      <c r="X34" s="306"/>
      <c r="Y34" s="306"/>
      <c r="Z34" s="149"/>
      <c r="AA34" s="150"/>
      <c r="AB34" s="150"/>
      <c r="AC34" s="150"/>
      <c r="AD34" s="306"/>
      <c r="AE34" s="306"/>
      <c r="AF34" s="306"/>
      <c r="AG34" s="306"/>
      <c r="AH34" s="306"/>
      <c r="AI34" s="306"/>
      <c r="AJ34" s="306"/>
      <c r="AK34" s="306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  <c r="BD34" s="306"/>
      <c r="BE34" s="306"/>
      <c r="BF34" s="306"/>
      <c r="BG34" s="306"/>
      <c r="BH34" s="306"/>
      <c r="BI34" s="306"/>
      <c r="BJ34" s="306"/>
      <c r="BK34" s="306"/>
      <c r="BL34" s="306"/>
      <c r="BM34" s="306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6"/>
      <c r="W35" s="306"/>
      <c r="X35" s="306"/>
      <c r="Y35" s="306"/>
      <c r="Z35" s="149"/>
      <c r="AA35" s="150"/>
      <c r="AB35" s="150"/>
      <c r="AC35" s="150"/>
      <c r="AD35" s="306"/>
      <c r="AE35" s="306"/>
      <c r="AF35" s="306"/>
      <c r="AG35" s="306"/>
      <c r="AH35" s="306"/>
      <c r="AI35" s="306"/>
      <c r="AJ35" s="306"/>
      <c r="AK35" s="306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  <c r="BD35" s="306"/>
      <c r="BE35" s="306"/>
      <c r="BF35" s="306"/>
      <c r="BG35" s="306"/>
      <c r="BH35" s="306"/>
      <c r="BI35" s="306"/>
      <c r="BJ35" s="306"/>
      <c r="BK35" s="306"/>
      <c r="BL35" s="306"/>
      <c r="BM35" s="306"/>
    </row>
    <row r="36" spans="1:65" ht="14.1" customHeight="1" x14ac:dyDescent="0.25">
      <c r="A36" s="12"/>
      <c r="B36" s="24">
        <f>SUM(B5:B35)</f>
        <v>-2961969</v>
      </c>
      <c r="C36" s="24">
        <f>SUM(C5:C35)</f>
        <v>-2950818</v>
      </c>
      <c r="D36" s="24">
        <f t="shared" si="0"/>
        <v>11151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6"/>
      <c r="W36" s="306"/>
      <c r="X36" s="306"/>
      <c r="Y36" s="306"/>
      <c r="Z36" s="149"/>
      <c r="AA36" s="150"/>
      <c r="AB36" s="150"/>
      <c r="AC36" s="150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  <c r="BD36" s="306"/>
      <c r="BE36" s="306"/>
      <c r="BF36" s="306"/>
      <c r="BG36" s="306"/>
      <c r="BH36" s="306"/>
      <c r="BI36" s="306"/>
      <c r="BJ36" s="306"/>
      <c r="BK36" s="306"/>
      <c r="BL36" s="306"/>
      <c r="BM36" s="306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6"/>
      <c r="W37" s="306"/>
      <c r="X37" s="306"/>
      <c r="Y37" s="306"/>
      <c r="Z37" s="206"/>
      <c r="AA37" s="208"/>
      <c r="AB37" s="208"/>
      <c r="AC37" s="208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  <c r="BD37" s="306"/>
      <c r="BE37" s="306"/>
      <c r="BF37" s="306"/>
      <c r="BG37" s="306"/>
      <c r="BH37" s="306"/>
      <c r="BI37" s="306"/>
      <c r="BJ37" s="306"/>
      <c r="BK37" s="306"/>
      <c r="BL37" s="306"/>
      <c r="BM37" s="306"/>
    </row>
    <row r="38" spans="1:65" x14ac:dyDescent="0.25">
      <c r="B38" s="256">
        <v>37072</v>
      </c>
      <c r="C38" s="24"/>
      <c r="D38" s="372">
        <v>28278</v>
      </c>
      <c r="E38" s="2"/>
      <c r="G38" s="24"/>
      <c r="H38" s="24"/>
      <c r="I38" s="150"/>
      <c r="J38" s="306"/>
      <c r="K38" s="150"/>
      <c r="L38" s="150"/>
      <c r="M38" s="150"/>
      <c r="N38" s="306"/>
      <c r="O38" s="150"/>
      <c r="P38" s="150"/>
      <c r="Q38" s="150"/>
      <c r="R38" s="306"/>
      <c r="S38" s="150"/>
      <c r="T38" s="150"/>
      <c r="U38" s="150"/>
      <c r="V38" s="306"/>
      <c r="W38" s="306"/>
      <c r="X38" s="306"/>
      <c r="Y38" s="306"/>
      <c r="Z38" s="306"/>
      <c r="AA38" s="150"/>
      <c r="AB38" s="150"/>
      <c r="AC38" s="150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  <c r="BD38" s="306"/>
      <c r="BE38" s="306"/>
      <c r="BF38" s="306"/>
      <c r="BG38" s="306"/>
      <c r="BH38" s="306"/>
      <c r="BI38" s="306"/>
      <c r="BJ38" s="306"/>
      <c r="BK38" s="306"/>
      <c r="BL38" s="306"/>
      <c r="BM38" s="306"/>
    </row>
    <row r="39" spans="1:65" x14ac:dyDescent="0.25">
      <c r="B39" s="256"/>
      <c r="C39" s="24"/>
      <c r="D39" s="24"/>
      <c r="E39" s="2"/>
      <c r="G39" s="24"/>
      <c r="H39" s="24"/>
      <c r="I39" s="150"/>
      <c r="J39" s="306"/>
      <c r="K39" s="150"/>
      <c r="L39" s="150"/>
      <c r="M39" s="150"/>
      <c r="N39" s="306"/>
      <c r="O39" s="150"/>
      <c r="P39" s="150"/>
      <c r="Q39" s="150"/>
      <c r="R39" s="306"/>
      <c r="S39" s="150"/>
      <c r="T39" s="150"/>
      <c r="U39" s="150"/>
      <c r="V39" s="306"/>
      <c r="W39" s="306"/>
      <c r="X39" s="306"/>
      <c r="Y39" s="306"/>
      <c r="Z39" s="306"/>
      <c r="AA39" s="150"/>
      <c r="AB39" s="150"/>
      <c r="AC39" s="150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  <c r="BD39" s="306"/>
      <c r="BE39" s="306"/>
      <c r="BF39" s="306"/>
      <c r="BG39" s="306"/>
      <c r="BH39" s="306"/>
      <c r="BI39" s="306"/>
      <c r="BJ39" s="306"/>
      <c r="BK39" s="306"/>
      <c r="BL39" s="306"/>
      <c r="BM39" s="306"/>
    </row>
    <row r="40" spans="1:65" ht="13.8" thickBot="1" x14ac:dyDescent="0.3">
      <c r="B40" s="256">
        <v>37100</v>
      </c>
      <c r="C40" s="24"/>
      <c r="D40" s="195">
        <f>+D36+D38</f>
        <v>39429</v>
      </c>
      <c r="E40" s="196"/>
      <c r="G40" s="24"/>
      <c r="H40" s="24"/>
      <c r="I40" s="150"/>
      <c r="J40" s="306"/>
      <c r="K40" s="150"/>
      <c r="L40" s="150"/>
      <c r="M40" s="150"/>
      <c r="N40" s="306"/>
      <c r="O40" s="150"/>
      <c r="P40" s="150"/>
      <c r="Q40" s="169"/>
      <c r="R40" s="306"/>
      <c r="S40" s="150"/>
      <c r="T40" s="150"/>
      <c r="U40" s="169"/>
      <c r="V40" s="306"/>
      <c r="W40" s="306"/>
      <c r="X40" s="306"/>
      <c r="Y40" s="306"/>
      <c r="Z40" s="306"/>
      <c r="AA40" s="150"/>
      <c r="AB40" s="150"/>
      <c r="AC40" s="169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  <c r="BD40" s="306"/>
      <c r="BE40" s="306"/>
      <c r="BF40" s="306"/>
      <c r="BG40" s="306"/>
      <c r="BH40" s="306"/>
      <c r="BI40" s="306"/>
      <c r="BJ40" s="306"/>
      <c r="BK40" s="306"/>
      <c r="BL40" s="306"/>
      <c r="BM40" s="306"/>
    </row>
    <row r="41" spans="1:65" ht="13.8" thickTop="1" x14ac:dyDescent="0.25">
      <c r="B41" s="257"/>
      <c r="C41"/>
      <c r="D41"/>
      <c r="E41" s="2"/>
      <c r="I41" s="306"/>
      <c r="J41" s="306"/>
      <c r="K41" s="306"/>
      <c r="L41" s="306"/>
      <c r="M41" s="306"/>
      <c r="N41" s="306"/>
      <c r="O41" s="306"/>
      <c r="P41" s="306"/>
      <c r="Q41" s="306"/>
      <c r="R41" s="306"/>
      <c r="S41" s="306"/>
      <c r="T41" s="306"/>
      <c r="U41" s="306"/>
      <c r="V41" s="306"/>
      <c r="W41" s="306"/>
      <c r="X41" s="306"/>
      <c r="Y41" s="306"/>
      <c r="Z41" s="306"/>
      <c r="AA41" s="306"/>
      <c r="AB41" s="306"/>
      <c r="AC41" s="3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  <c r="BD41" s="306"/>
      <c r="BE41" s="306"/>
      <c r="BF41" s="306"/>
      <c r="BG41" s="306"/>
      <c r="BH41" s="306"/>
      <c r="BI41" s="306"/>
      <c r="BJ41" s="306"/>
      <c r="BK41" s="306"/>
      <c r="BL41" s="306"/>
      <c r="BM41" s="306"/>
    </row>
    <row r="42" spans="1:65" x14ac:dyDescent="0.25">
      <c r="B42" s="2"/>
      <c r="C42"/>
      <c r="D42"/>
      <c r="I42" s="306"/>
      <c r="J42" s="306"/>
      <c r="K42" s="306"/>
      <c r="L42" s="306"/>
      <c r="M42" s="306"/>
      <c r="N42" s="306"/>
      <c r="O42" s="306"/>
      <c r="P42" s="306"/>
      <c r="Q42" s="306"/>
      <c r="R42" s="306"/>
      <c r="S42" s="306"/>
      <c r="T42" s="306"/>
      <c r="U42" s="306"/>
      <c r="V42" s="306"/>
      <c r="W42" s="306"/>
      <c r="X42" s="306"/>
      <c r="Y42" s="306"/>
      <c r="Z42" s="306"/>
      <c r="AA42" s="306"/>
      <c r="AB42" s="306"/>
      <c r="AC42" s="3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  <c r="BD42" s="306"/>
      <c r="BE42" s="306"/>
      <c r="BF42" s="306"/>
      <c r="BG42" s="306"/>
      <c r="BH42" s="306"/>
      <c r="BI42" s="306"/>
      <c r="BJ42" s="306"/>
      <c r="BK42" s="306"/>
      <c r="BL42" s="306"/>
      <c r="BM42" s="306"/>
    </row>
    <row r="43" spans="1:65" x14ac:dyDescent="0.25">
      <c r="B43"/>
      <c r="C43"/>
      <c r="D43"/>
      <c r="I43" s="306"/>
      <c r="J43" s="306"/>
      <c r="K43" s="306"/>
      <c r="L43" s="306"/>
      <c r="M43" s="306"/>
      <c r="N43" s="306"/>
      <c r="O43" s="306"/>
      <c r="P43" s="306"/>
      <c r="Q43" s="306"/>
      <c r="R43" s="306"/>
      <c r="S43" s="306"/>
      <c r="T43" s="306"/>
      <c r="U43" s="306"/>
      <c r="V43" s="306"/>
      <c r="W43" s="306"/>
      <c r="X43" s="306"/>
      <c r="Y43" s="306"/>
      <c r="Z43" s="306"/>
      <c r="AA43" s="306"/>
      <c r="AB43" s="306"/>
      <c r="AC43" s="3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  <c r="BD43" s="306"/>
      <c r="BE43" s="306"/>
      <c r="BF43" s="306"/>
      <c r="BG43" s="306"/>
      <c r="BH43" s="306"/>
      <c r="BI43" s="306"/>
      <c r="BJ43" s="306"/>
      <c r="BK43" s="306"/>
      <c r="BL43" s="306"/>
      <c r="BM43" s="306"/>
    </row>
    <row r="44" spans="1:65" x14ac:dyDescent="0.25">
      <c r="B44"/>
      <c r="C44"/>
      <c r="D44"/>
      <c r="I44" s="306"/>
      <c r="J44" s="306"/>
      <c r="K44" s="306"/>
      <c r="L44" s="306"/>
      <c r="M44" s="306"/>
      <c r="N44" s="306"/>
      <c r="O44" s="306"/>
      <c r="P44" s="306"/>
      <c r="Q44" s="306"/>
      <c r="R44" s="306"/>
      <c r="S44" s="306"/>
      <c r="T44" s="306"/>
      <c r="U44" s="306"/>
      <c r="V44" s="306"/>
      <c r="W44" s="306"/>
      <c r="X44" s="306"/>
      <c r="Y44" s="306"/>
      <c r="Z44" s="306"/>
      <c r="AA44" s="306"/>
      <c r="AB44" s="306"/>
      <c r="AC44" s="3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  <c r="BD44" s="306"/>
      <c r="BE44" s="306"/>
      <c r="BF44" s="306"/>
      <c r="BG44" s="306"/>
      <c r="BH44" s="306"/>
      <c r="BI44" s="306"/>
      <c r="BJ44" s="306"/>
      <c r="BK44" s="306"/>
      <c r="BL44" s="306"/>
      <c r="BM44" s="306"/>
    </row>
    <row r="45" spans="1:65" x14ac:dyDescent="0.25">
      <c r="B45"/>
      <c r="C45"/>
      <c r="D45"/>
    </row>
    <row r="46" spans="1:65" x14ac:dyDescent="0.25">
      <c r="B46"/>
      <c r="C46"/>
      <c r="E46" s="31"/>
    </row>
    <row r="47" spans="1:65" x14ac:dyDescent="0.25">
      <c r="B47"/>
      <c r="C47"/>
      <c r="D47"/>
    </row>
    <row r="48" spans="1:65" x14ac:dyDescent="0.25">
      <c r="B48"/>
      <c r="C48"/>
      <c r="D48" s="31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B18" sqref="B18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6"/>
      <c r="D3" s="88"/>
    </row>
    <row r="4" spans="1:13" x14ac:dyDescent="0.25">
      <c r="A4" s="87"/>
      <c r="B4" s="262" t="s">
        <v>20</v>
      </c>
      <c r="C4" s="262" t="s">
        <v>21</v>
      </c>
      <c r="D4" s="263" t="s">
        <v>51</v>
      </c>
    </row>
    <row r="5" spans="1:13" x14ac:dyDescent="0.25">
      <c r="A5" s="87">
        <v>56339</v>
      </c>
      <c r="B5" s="90">
        <v>924791</v>
      </c>
      <c r="C5" s="90">
        <v>963977</v>
      </c>
      <c r="D5" s="90">
        <f>+C5-B5</f>
        <v>39186</v>
      </c>
      <c r="E5" s="286"/>
      <c r="F5" s="284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824399</v>
      </c>
      <c r="C7" s="90">
        <v>678809</v>
      </c>
      <c r="D7" s="90">
        <f t="shared" si="0"/>
        <v>-145590</v>
      </c>
      <c r="E7" s="286"/>
      <c r="F7" s="284"/>
      <c r="L7" t="s">
        <v>26</v>
      </c>
      <c r="M7">
        <v>7.6</v>
      </c>
    </row>
    <row r="8" spans="1:13" x14ac:dyDescent="0.25">
      <c r="A8" s="87">
        <v>500239</v>
      </c>
      <c r="B8" s="321">
        <v>1043288</v>
      </c>
      <c r="C8" s="90">
        <v>1091589</v>
      </c>
      <c r="D8" s="90">
        <f t="shared" si="0"/>
        <v>48301</v>
      </c>
      <c r="E8" s="286"/>
      <c r="F8" s="284"/>
    </row>
    <row r="9" spans="1:13" x14ac:dyDescent="0.25">
      <c r="A9" s="87">
        <v>500293</v>
      </c>
      <c r="B9" s="90">
        <v>424349</v>
      </c>
      <c r="C9" s="90">
        <v>571980</v>
      </c>
      <c r="D9" s="90">
        <f t="shared" si="0"/>
        <v>147631</v>
      </c>
      <c r="E9" s="286"/>
      <c r="F9" s="284"/>
    </row>
    <row r="10" spans="1:13" x14ac:dyDescent="0.25">
      <c r="A10" s="87">
        <v>500302</v>
      </c>
      <c r="B10" s="321"/>
      <c r="C10" s="321">
        <v>11966</v>
      </c>
      <c r="D10" s="90">
        <f t="shared" si="0"/>
        <v>11966</v>
      </c>
      <c r="E10" s="286"/>
      <c r="F10" s="284"/>
    </row>
    <row r="11" spans="1:13" x14ac:dyDescent="0.25">
      <c r="A11" s="87">
        <v>500303</v>
      </c>
      <c r="B11" s="321">
        <v>210374</v>
      </c>
      <c r="C11" s="90">
        <v>308055</v>
      </c>
      <c r="D11" s="90">
        <f t="shared" si="0"/>
        <v>97681</v>
      </c>
      <c r="E11" s="286"/>
      <c r="F11" s="284"/>
    </row>
    <row r="12" spans="1:13" x14ac:dyDescent="0.25">
      <c r="A12" s="91">
        <v>500305</v>
      </c>
      <c r="B12" s="321">
        <v>883715</v>
      </c>
      <c r="C12" s="90">
        <v>1264710</v>
      </c>
      <c r="D12" s="90">
        <f t="shared" si="0"/>
        <v>380995</v>
      </c>
      <c r="E12" s="287"/>
      <c r="F12" s="284"/>
    </row>
    <row r="13" spans="1:13" x14ac:dyDescent="0.25">
      <c r="A13" s="87">
        <v>500307</v>
      </c>
      <c r="B13" s="321">
        <f>128993+5507</f>
        <v>134500</v>
      </c>
      <c r="C13" s="90">
        <v>147164</v>
      </c>
      <c r="D13" s="90">
        <f t="shared" si="0"/>
        <v>12664</v>
      </c>
      <c r="E13" s="286"/>
      <c r="F13" s="284"/>
    </row>
    <row r="14" spans="1:13" x14ac:dyDescent="0.25">
      <c r="A14" s="87">
        <v>500313</v>
      </c>
      <c r="B14" s="90">
        <v>2540</v>
      </c>
      <c r="C14" s="321">
        <v>2921</v>
      </c>
      <c r="D14" s="90">
        <f t="shared" si="0"/>
        <v>381</v>
      </c>
      <c r="E14" s="286"/>
      <c r="F14" s="284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6"/>
      <c r="F15" s="284"/>
    </row>
    <row r="16" spans="1:13" x14ac:dyDescent="0.25">
      <c r="A16" s="87">
        <v>500655</v>
      </c>
      <c r="B16" s="327">
        <v>657633</v>
      </c>
      <c r="C16" s="90"/>
      <c r="D16" s="90">
        <f t="shared" si="0"/>
        <v>-657633</v>
      </c>
      <c r="E16" s="286"/>
      <c r="F16" s="284"/>
    </row>
    <row r="17" spans="1:6" x14ac:dyDescent="0.25">
      <c r="A17" s="87">
        <v>500657</v>
      </c>
      <c r="B17" s="338">
        <v>150420</v>
      </c>
      <c r="C17" s="88">
        <v>168000</v>
      </c>
      <c r="D17" s="94">
        <f t="shared" si="0"/>
        <v>17580</v>
      </c>
      <c r="E17" s="286"/>
      <c r="F17" s="284"/>
    </row>
    <row r="18" spans="1:6" x14ac:dyDescent="0.25">
      <c r="A18" s="87"/>
      <c r="B18" s="88"/>
      <c r="C18" s="88"/>
      <c r="D18" s="88">
        <f>SUM(D5:D17)</f>
        <v>-46838</v>
      </c>
      <c r="E18" s="286"/>
      <c r="F18" s="284"/>
    </row>
    <row r="19" spans="1:6" x14ac:dyDescent="0.25">
      <c r="A19" s="87" t="s">
        <v>84</v>
      </c>
      <c r="B19" s="88"/>
      <c r="C19" s="88"/>
      <c r="D19" s="95">
        <f>+summary!H4</f>
        <v>2.76</v>
      </c>
      <c r="E19" s="288"/>
      <c r="F19" s="284"/>
    </row>
    <row r="20" spans="1:6" x14ac:dyDescent="0.25">
      <c r="A20" s="87"/>
      <c r="B20" s="88"/>
      <c r="C20" s="88"/>
      <c r="D20" s="96">
        <f>+D19*D18</f>
        <v>-129272.87999999999</v>
      </c>
      <c r="E20" s="209"/>
      <c r="F20" s="285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37072</v>
      </c>
      <c r="B22" s="88"/>
      <c r="C22" s="88"/>
      <c r="D22" s="382">
        <v>26156.73</v>
      </c>
      <c r="E22" s="209"/>
      <c r="F22" s="66"/>
    </row>
    <row r="23" spans="1:6" x14ac:dyDescent="0.25">
      <c r="A23" s="87"/>
      <c r="B23" s="88"/>
      <c r="C23" s="88"/>
      <c r="D23" s="324"/>
      <c r="E23" s="209"/>
      <c r="F23" s="66"/>
    </row>
    <row r="24" spans="1:6" ht="13.8" thickBot="1" x14ac:dyDescent="0.3">
      <c r="A24" s="99">
        <v>37100</v>
      </c>
      <c r="B24" s="88"/>
      <c r="C24" s="88"/>
      <c r="D24" s="337">
        <f>+D22+D20</f>
        <v>-103116.15</v>
      </c>
      <c r="E24" s="209"/>
      <c r="F24" s="66"/>
    </row>
    <row r="25" spans="1:6" ht="13.8" thickTop="1" x14ac:dyDescent="0.25">
      <c r="E25" s="289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20" workbookViewId="3">
      <selection activeCell="E32" sqref="E32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" style="32" bestFit="1" customWidth="1"/>
    <col min="4" max="4" width="8.88671875" style="32" customWidth="1"/>
    <col min="5" max="5" width="12.5546875" style="32" bestFit="1" customWidth="1"/>
    <col min="6" max="6" width="11.33203125" style="32" bestFit="1" customWidth="1"/>
    <col min="7" max="7" width="9.109375" style="2"/>
    <col min="8" max="8" width="9.109375" style="32"/>
    <col min="9" max="9" width="10.5546875" style="32" bestFit="1" customWidth="1"/>
    <col min="10" max="10" width="9.109375" style="32"/>
    <col min="11" max="11" width="11.33203125" style="32" bestFit="1" customWidth="1"/>
    <col min="12" max="12" width="11.33203125" style="32" customWidth="1"/>
    <col min="13" max="13" width="9.33203125" style="32" bestFit="1" customWidth="1"/>
    <col min="14" max="14" width="10.109375" style="32" customWidth="1"/>
    <col min="15" max="15" width="11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7" x14ac:dyDescent="0.2">
      <c r="A1" s="37"/>
    </row>
    <row r="2" spans="1:7" x14ac:dyDescent="0.2">
      <c r="A2" s="2"/>
      <c r="B2" s="12" t="s">
        <v>48</v>
      </c>
      <c r="C2" s="205"/>
      <c r="D2" s="12" t="s">
        <v>49</v>
      </c>
      <c r="E2" s="12"/>
      <c r="F2" s="4"/>
    </row>
    <row r="3" spans="1:7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</row>
    <row r="4" spans="1:7" x14ac:dyDescent="0.2">
      <c r="A4" s="41">
        <v>1</v>
      </c>
      <c r="B4" s="11">
        <v>48553</v>
      </c>
      <c r="C4" s="11">
        <v>48599</v>
      </c>
      <c r="D4" s="11">
        <v>29955</v>
      </c>
      <c r="E4" s="11">
        <v>31842</v>
      </c>
      <c r="F4" s="25">
        <f>+E4+C4-D4-B4</f>
        <v>1933</v>
      </c>
      <c r="G4" s="25"/>
    </row>
    <row r="5" spans="1:7" x14ac:dyDescent="0.2">
      <c r="A5" s="41">
        <v>2</v>
      </c>
      <c r="B5" s="11">
        <v>44345</v>
      </c>
      <c r="C5" s="11">
        <v>43773</v>
      </c>
      <c r="D5" s="11">
        <v>29721</v>
      </c>
      <c r="E5" s="11">
        <v>32000</v>
      </c>
      <c r="F5" s="25">
        <f t="shared" ref="F5:F34" si="0">+E5+C5-D5-B5</f>
        <v>1707</v>
      </c>
      <c r="G5" s="25"/>
    </row>
    <row r="6" spans="1:7" x14ac:dyDescent="0.2">
      <c r="A6" s="41">
        <v>3</v>
      </c>
      <c r="B6" s="11">
        <v>44746</v>
      </c>
      <c r="C6" s="11">
        <v>43773</v>
      </c>
      <c r="D6" s="11">
        <v>29848</v>
      </c>
      <c r="E6" s="11">
        <v>32000</v>
      </c>
      <c r="F6" s="25">
        <f t="shared" si="0"/>
        <v>1179</v>
      </c>
      <c r="G6" s="25"/>
    </row>
    <row r="7" spans="1:7" x14ac:dyDescent="0.2">
      <c r="A7" s="41">
        <v>4</v>
      </c>
      <c r="B7" s="11">
        <v>48479</v>
      </c>
      <c r="C7" s="11">
        <v>46658</v>
      </c>
      <c r="D7" s="11">
        <v>29716</v>
      </c>
      <c r="E7" s="11">
        <v>28940</v>
      </c>
      <c r="F7" s="25">
        <f t="shared" si="0"/>
        <v>-2597</v>
      </c>
      <c r="G7" s="25"/>
    </row>
    <row r="8" spans="1:7" x14ac:dyDescent="0.2">
      <c r="A8" s="41">
        <v>5</v>
      </c>
      <c r="B8" s="11">
        <v>48094</v>
      </c>
      <c r="C8" s="11">
        <v>46773</v>
      </c>
      <c r="D8" s="11">
        <v>29861</v>
      </c>
      <c r="E8" s="11">
        <v>29000</v>
      </c>
      <c r="F8" s="25">
        <f t="shared" si="0"/>
        <v>-2182</v>
      </c>
      <c r="G8" s="25"/>
    </row>
    <row r="9" spans="1:7" x14ac:dyDescent="0.2">
      <c r="A9" s="41">
        <v>6</v>
      </c>
      <c r="B9" s="11">
        <v>49751</v>
      </c>
      <c r="C9" s="11">
        <v>46764</v>
      </c>
      <c r="D9" s="11">
        <v>31678</v>
      </c>
      <c r="E9" s="11">
        <v>28994</v>
      </c>
      <c r="F9" s="25">
        <f t="shared" si="0"/>
        <v>-5671</v>
      </c>
      <c r="G9" s="25"/>
    </row>
    <row r="10" spans="1:7" x14ac:dyDescent="0.2">
      <c r="A10" s="41">
        <v>7</v>
      </c>
      <c r="B10" s="129">
        <v>48463</v>
      </c>
      <c r="C10" s="11">
        <v>46655</v>
      </c>
      <c r="D10" s="129">
        <v>31065</v>
      </c>
      <c r="E10" s="11">
        <v>28927</v>
      </c>
      <c r="F10" s="25">
        <f t="shared" si="0"/>
        <v>-3946</v>
      </c>
      <c r="G10" s="25"/>
    </row>
    <row r="11" spans="1:7" x14ac:dyDescent="0.2">
      <c r="A11" s="41">
        <v>8</v>
      </c>
      <c r="B11" s="11">
        <v>48116</v>
      </c>
      <c r="C11" s="11">
        <v>46773</v>
      </c>
      <c r="D11" s="11">
        <v>31104</v>
      </c>
      <c r="E11" s="11">
        <v>29000</v>
      </c>
      <c r="F11" s="25">
        <f t="shared" si="0"/>
        <v>-3447</v>
      </c>
      <c r="G11" s="25"/>
    </row>
    <row r="12" spans="1:7" x14ac:dyDescent="0.2">
      <c r="A12" s="41">
        <v>9</v>
      </c>
      <c r="B12" s="11">
        <v>46559</v>
      </c>
      <c r="C12" s="11">
        <v>46773</v>
      </c>
      <c r="D12" s="11">
        <v>29773</v>
      </c>
      <c r="E12" s="11">
        <v>29000</v>
      </c>
      <c r="F12" s="25">
        <f t="shared" si="0"/>
        <v>-559</v>
      </c>
      <c r="G12" s="25"/>
    </row>
    <row r="13" spans="1:7" x14ac:dyDescent="0.2">
      <c r="A13" s="41">
        <v>10</v>
      </c>
      <c r="B13" s="129">
        <v>46494</v>
      </c>
      <c r="C13" s="11">
        <v>46773</v>
      </c>
      <c r="D13" s="129">
        <v>30205</v>
      </c>
      <c r="E13" s="11">
        <v>29000</v>
      </c>
      <c r="F13" s="25">
        <f t="shared" si="0"/>
        <v>-926</v>
      </c>
      <c r="G13" s="25"/>
    </row>
    <row r="14" spans="1:7" x14ac:dyDescent="0.2">
      <c r="A14" s="41">
        <v>11</v>
      </c>
      <c r="B14" s="11">
        <v>48443</v>
      </c>
      <c r="C14" s="11">
        <v>46773</v>
      </c>
      <c r="D14" s="11">
        <v>29276</v>
      </c>
      <c r="E14" s="11">
        <v>29000</v>
      </c>
      <c r="F14" s="25">
        <f t="shared" si="0"/>
        <v>-1946</v>
      </c>
      <c r="G14" s="25"/>
    </row>
    <row r="15" spans="1:7" x14ac:dyDescent="0.2">
      <c r="A15" s="41">
        <v>12</v>
      </c>
      <c r="B15" s="11">
        <v>44817</v>
      </c>
      <c r="C15" s="11">
        <v>46773</v>
      </c>
      <c r="D15" s="11">
        <v>28248</v>
      </c>
      <c r="E15" s="11">
        <v>29000</v>
      </c>
      <c r="F15" s="25">
        <f t="shared" si="0"/>
        <v>2708</v>
      </c>
      <c r="G15" s="25"/>
    </row>
    <row r="16" spans="1:7" x14ac:dyDescent="0.2">
      <c r="A16" s="41">
        <v>13</v>
      </c>
      <c r="B16" s="11">
        <v>45318</v>
      </c>
      <c r="C16" s="11">
        <v>46682</v>
      </c>
      <c r="D16" s="11">
        <v>28387</v>
      </c>
      <c r="E16" s="11">
        <v>28943</v>
      </c>
      <c r="F16" s="25">
        <f t="shared" si="0"/>
        <v>1920</v>
      </c>
      <c r="G16" s="25"/>
    </row>
    <row r="17" spans="1:7" x14ac:dyDescent="0.2">
      <c r="A17" s="41">
        <v>14</v>
      </c>
      <c r="B17" s="11">
        <v>46538</v>
      </c>
      <c r="C17" s="11">
        <v>46773</v>
      </c>
      <c r="D17" s="11">
        <v>28083</v>
      </c>
      <c r="E17" s="11">
        <v>29000</v>
      </c>
      <c r="F17" s="25">
        <f t="shared" si="0"/>
        <v>1152</v>
      </c>
      <c r="G17" s="25"/>
    </row>
    <row r="18" spans="1:7" x14ac:dyDescent="0.2">
      <c r="A18" s="41">
        <v>15</v>
      </c>
      <c r="B18" s="11">
        <v>46426</v>
      </c>
      <c r="C18" s="11">
        <v>55757</v>
      </c>
      <c r="D18" s="11">
        <v>28025</v>
      </c>
      <c r="E18" s="11">
        <v>33498</v>
      </c>
      <c r="F18" s="25">
        <f t="shared" si="0"/>
        <v>14804</v>
      </c>
      <c r="G18" s="25"/>
    </row>
    <row r="19" spans="1:7" x14ac:dyDescent="0.2">
      <c r="A19" s="41">
        <v>16</v>
      </c>
      <c r="B19" s="11">
        <v>40341</v>
      </c>
      <c r="C19" s="11">
        <v>46773</v>
      </c>
      <c r="D19" s="11">
        <v>31976</v>
      </c>
      <c r="E19" s="11">
        <v>29000</v>
      </c>
      <c r="F19" s="25">
        <f t="shared" si="0"/>
        <v>3456</v>
      </c>
      <c r="G19" s="25"/>
    </row>
    <row r="20" spans="1:7" x14ac:dyDescent="0.2">
      <c r="A20" s="41">
        <v>17</v>
      </c>
      <c r="B20" s="11">
        <v>37121</v>
      </c>
      <c r="C20" s="11">
        <v>35773</v>
      </c>
      <c r="D20" s="11">
        <v>34451</v>
      </c>
      <c r="E20" s="11">
        <v>40000</v>
      </c>
      <c r="F20" s="25">
        <f t="shared" si="0"/>
        <v>4201</v>
      </c>
      <c r="G20" s="25"/>
    </row>
    <row r="21" spans="1:7" x14ac:dyDescent="0.2">
      <c r="A21" s="41">
        <v>18</v>
      </c>
      <c r="B21" s="11">
        <v>38013</v>
      </c>
      <c r="C21" s="11">
        <v>35773</v>
      </c>
      <c r="D21" s="11">
        <v>35719</v>
      </c>
      <c r="E21" s="11">
        <v>40000</v>
      </c>
      <c r="F21" s="25">
        <f t="shared" si="0"/>
        <v>2041</v>
      </c>
      <c r="G21" s="25"/>
    </row>
    <row r="22" spans="1:7" x14ac:dyDescent="0.2">
      <c r="A22" s="41">
        <v>19</v>
      </c>
      <c r="B22" s="11">
        <v>40596</v>
      </c>
      <c r="C22" s="11">
        <v>41381</v>
      </c>
      <c r="D22" s="11">
        <v>32643</v>
      </c>
      <c r="E22" s="11">
        <v>36341</v>
      </c>
      <c r="F22" s="25">
        <f t="shared" si="0"/>
        <v>4483</v>
      </c>
      <c r="G22" s="25"/>
    </row>
    <row r="23" spans="1:7" x14ac:dyDescent="0.2">
      <c r="A23" s="41">
        <v>20</v>
      </c>
      <c r="B23" s="11">
        <v>39379</v>
      </c>
      <c r="C23" s="11">
        <v>41794</v>
      </c>
      <c r="D23" s="11">
        <v>31976</v>
      </c>
      <c r="E23" s="11">
        <v>34012</v>
      </c>
      <c r="F23" s="25">
        <f t="shared" si="0"/>
        <v>4451</v>
      </c>
      <c r="G23" s="25"/>
    </row>
    <row r="24" spans="1:7" x14ac:dyDescent="0.2">
      <c r="A24" s="41">
        <v>21</v>
      </c>
      <c r="B24" s="11">
        <v>41476</v>
      </c>
      <c r="C24" s="11">
        <v>41654</v>
      </c>
      <c r="D24" s="11">
        <v>28664</v>
      </c>
      <c r="E24" s="11">
        <v>26883</v>
      </c>
      <c r="F24" s="25">
        <f t="shared" si="0"/>
        <v>-1603</v>
      </c>
      <c r="G24" s="25"/>
    </row>
    <row r="25" spans="1:7" x14ac:dyDescent="0.2">
      <c r="A25" s="41">
        <v>22</v>
      </c>
      <c r="B25" s="11">
        <v>45838</v>
      </c>
      <c r="C25" s="11">
        <v>45000</v>
      </c>
      <c r="D25" s="11">
        <v>29873</v>
      </c>
      <c r="E25" s="11">
        <v>35665</v>
      </c>
      <c r="F25" s="25">
        <f t="shared" si="0"/>
        <v>4954</v>
      </c>
      <c r="G25" s="25"/>
    </row>
    <row r="26" spans="1:7" x14ac:dyDescent="0.2">
      <c r="A26" s="41">
        <v>23</v>
      </c>
      <c r="B26" s="11">
        <v>47849</v>
      </c>
      <c r="C26" s="11">
        <v>45000</v>
      </c>
      <c r="D26" s="129">
        <v>26443</v>
      </c>
      <c r="E26" s="11">
        <v>29764</v>
      </c>
      <c r="F26" s="25">
        <f t="shared" si="0"/>
        <v>472</v>
      </c>
    </row>
    <row r="27" spans="1:7" x14ac:dyDescent="0.2">
      <c r="A27" s="41">
        <v>24</v>
      </c>
      <c r="B27" s="11">
        <v>46523</v>
      </c>
      <c r="C27" s="11">
        <v>45000</v>
      </c>
      <c r="D27" s="11">
        <v>28147</v>
      </c>
      <c r="E27" s="11">
        <v>25906</v>
      </c>
      <c r="F27" s="25">
        <f t="shared" si="0"/>
        <v>-3764</v>
      </c>
    </row>
    <row r="28" spans="1:7" x14ac:dyDescent="0.2">
      <c r="A28" s="41">
        <v>25</v>
      </c>
      <c r="B28" s="11">
        <v>47400</v>
      </c>
      <c r="C28" s="11">
        <v>45000</v>
      </c>
      <c r="D28" s="11">
        <v>30589</v>
      </c>
      <c r="E28" s="11">
        <v>30626</v>
      </c>
      <c r="F28" s="25">
        <f t="shared" si="0"/>
        <v>-2363</v>
      </c>
    </row>
    <row r="29" spans="1:7" x14ac:dyDescent="0.2">
      <c r="A29" s="41">
        <v>26</v>
      </c>
      <c r="B29" s="11">
        <v>45775</v>
      </c>
      <c r="C29" s="11">
        <v>45000</v>
      </c>
      <c r="D29" s="11">
        <v>31671</v>
      </c>
      <c r="E29" s="11">
        <v>30773</v>
      </c>
      <c r="F29" s="25">
        <f t="shared" si="0"/>
        <v>-1673</v>
      </c>
    </row>
    <row r="30" spans="1:7" x14ac:dyDescent="0.2">
      <c r="A30" s="41">
        <v>27</v>
      </c>
      <c r="B30" s="11">
        <v>39839</v>
      </c>
      <c r="C30" s="11">
        <v>45000</v>
      </c>
      <c r="D30" s="11">
        <v>29889</v>
      </c>
      <c r="E30" s="11">
        <v>29762</v>
      </c>
      <c r="F30" s="25">
        <f t="shared" si="0"/>
        <v>5034</v>
      </c>
    </row>
    <row r="31" spans="1:7" x14ac:dyDescent="0.2">
      <c r="A31" s="41">
        <v>28</v>
      </c>
      <c r="B31" s="11">
        <v>44233</v>
      </c>
      <c r="C31" s="11">
        <v>53780</v>
      </c>
      <c r="D31" s="11">
        <v>32133</v>
      </c>
      <c r="E31" s="11">
        <v>30773</v>
      </c>
      <c r="F31" s="25">
        <f t="shared" si="0"/>
        <v>8187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1259525</v>
      </c>
      <c r="C35" s="11">
        <f>SUM(C4:C34)</f>
        <v>1273000</v>
      </c>
      <c r="D35" s="11">
        <f>SUM(D4:D34)</f>
        <v>849119</v>
      </c>
      <c r="E35" s="11">
        <f>SUM(E4:E34)</f>
        <v>867649</v>
      </c>
      <c r="F35" s="11">
        <f>+E35-D35+C35-B35</f>
        <v>32005</v>
      </c>
    </row>
    <row r="36" spans="1:7" x14ac:dyDescent="0.2">
      <c r="A36" s="45"/>
      <c r="C36" s="14">
        <f>+C35-B35</f>
        <v>13475</v>
      </c>
      <c r="D36" s="14"/>
      <c r="E36" s="14">
        <f>+E35-D35</f>
        <v>18530</v>
      </c>
      <c r="F36" s="47"/>
    </row>
    <row r="37" spans="1:7" x14ac:dyDescent="0.2">
      <c r="C37" s="15">
        <f>+summary!H4</f>
        <v>2.76</v>
      </c>
      <c r="D37" s="15"/>
      <c r="E37" s="15">
        <f>+C37</f>
        <v>2.76</v>
      </c>
      <c r="F37" s="24"/>
    </row>
    <row r="38" spans="1:7" x14ac:dyDescent="0.2">
      <c r="C38" s="48">
        <f>+C37*C36</f>
        <v>37191</v>
      </c>
      <c r="D38" s="47"/>
      <c r="E38" s="48">
        <f>+E37*E36</f>
        <v>51142.799999999996</v>
      </c>
      <c r="F38" s="46">
        <f>+E38+C38</f>
        <v>88333.799999999988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37072</v>
      </c>
      <c r="C40" s="381">
        <v>2417637.89</v>
      </c>
      <c r="D40" s="111"/>
      <c r="E40" s="381">
        <v>-1908689.58</v>
      </c>
      <c r="F40" s="356">
        <f>+E40+C40</f>
        <v>508948.31000000006</v>
      </c>
      <c r="G40" s="25"/>
    </row>
    <row r="41" spans="1:7" x14ac:dyDescent="0.2">
      <c r="A41" s="57">
        <v>37100</v>
      </c>
      <c r="C41" s="106">
        <f>+C40+C38</f>
        <v>2454828.89</v>
      </c>
      <c r="D41" s="106"/>
      <c r="E41" s="106">
        <f>+E40+E38</f>
        <v>-1857546.78</v>
      </c>
      <c r="F41" s="106">
        <f>+E41+C41</f>
        <v>597282.1100000001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6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20" workbookViewId="3">
      <selection activeCell="C33" sqref="C33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164776</v>
      </c>
      <c r="C5" s="11">
        <v>208372</v>
      </c>
      <c r="D5" s="11"/>
      <c r="E5" s="11">
        <v>-45846</v>
      </c>
      <c r="F5" s="11">
        <f>+C5+E5-B5-D5</f>
        <v>-2250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115066</v>
      </c>
      <c r="C6" s="11">
        <v>197136</v>
      </c>
      <c r="D6" s="11"/>
      <c r="E6" s="11">
        <v>-84123</v>
      </c>
      <c r="F6" s="11">
        <f t="shared" ref="F6:F35" si="2">+C6+E6-B6-D6</f>
        <v>-2053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106244</v>
      </c>
      <c r="C7" s="11">
        <v>197136</v>
      </c>
      <c r="D7" s="11"/>
      <c r="E7" s="11">
        <v>-91292</v>
      </c>
      <c r="F7" s="11">
        <f t="shared" si="2"/>
        <v>-400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127004</v>
      </c>
      <c r="C8" s="11">
        <v>187111</v>
      </c>
      <c r="D8" s="11"/>
      <c r="E8" s="11">
        <v>-62293</v>
      </c>
      <c r="F8" s="11">
        <f t="shared" si="2"/>
        <v>-2186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98779</v>
      </c>
      <c r="C9" s="11">
        <v>185082</v>
      </c>
      <c r="D9" s="11"/>
      <c r="E9" s="11">
        <v>-86431</v>
      </c>
      <c r="F9" s="11">
        <f t="shared" si="2"/>
        <v>-128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168951</v>
      </c>
      <c r="C10" s="11">
        <v>178068</v>
      </c>
      <c r="D10" s="11"/>
      <c r="E10" s="11">
        <v>-9119</v>
      </c>
      <c r="F10" s="11">
        <f t="shared" si="2"/>
        <v>-2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188296</v>
      </c>
      <c r="C11" s="11">
        <v>205742</v>
      </c>
      <c r="D11" s="11"/>
      <c r="E11" s="11">
        <v>-18118</v>
      </c>
      <c r="F11" s="11">
        <f t="shared" si="2"/>
        <v>-672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182109</v>
      </c>
      <c r="C12" s="11">
        <v>200817</v>
      </c>
      <c r="D12" s="11"/>
      <c r="E12" s="11">
        <v>-18441</v>
      </c>
      <c r="F12" s="11">
        <f t="shared" si="2"/>
        <v>267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188712</v>
      </c>
      <c r="C13" s="11">
        <v>245273</v>
      </c>
      <c r="D13" s="11"/>
      <c r="E13" s="11">
        <v>-49809</v>
      </c>
      <c r="F13" s="11">
        <f t="shared" si="2"/>
        <v>6752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259939</v>
      </c>
      <c r="C14" s="11">
        <v>261171</v>
      </c>
      <c r="D14" s="11"/>
      <c r="E14" s="11"/>
      <c r="F14" s="11">
        <f t="shared" si="2"/>
        <v>1232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193942</v>
      </c>
      <c r="C15" s="11">
        <v>193088</v>
      </c>
      <c r="D15" s="11"/>
      <c r="E15" s="11"/>
      <c r="F15" s="11">
        <f t="shared" si="2"/>
        <v>-854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193586</v>
      </c>
      <c r="C16" s="11">
        <v>197136</v>
      </c>
      <c r="D16" s="11"/>
      <c r="E16" s="11">
        <v>-5726</v>
      </c>
      <c r="F16" s="11">
        <f t="shared" si="2"/>
        <v>-2176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187071</v>
      </c>
      <c r="C17" s="11">
        <v>197168</v>
      </c>
      <c r="D17" s="11"/>
      <c r="E17" s="11">
        <v>-8390</v>
      </c>
      <c r="F17" s="11">
        <f t="shared" si="2"/>
        <v>1707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178314</v>
      </c>
      <c r="C18" s="11">
        <v>190342</v>
      </c>
      <c r="D18" s="11"/>
      <c r="E18" s="11">
        <v>-11136</v>
      </c>
      <c r="F18" s="11">
        <f t="shared" si="2"/>
        <v>892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186616</v>
      </c>
      <c r="C19" s="11">
        <v>190342</v>
      </c>
      <c r="D19" s="11"/>
      <c r="E19" s="11">
        <v>-8612</v>
      </c>
      <c r="F19" s="11">
        <f t="shared" si="2"/>
        <v>-4886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187222</v>
      </c>
      <c r="C20" s="11">
        <v>190342</v>
      </c>
      <c r="D20" s="11"/>
      <c r="E20" s="11">
        <v>-6700</v>
      </c>
      <c r="F20" s="11">
        <f t="shared" si="2"/>
        <v>-3580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191390</v>
      </c>
      <c r="C21" s="11">
        <v>186462</v>
      </c>
      <c r="D21" s="11"/>
      <c r="E21" s="11"/>
      <c r="F21" s="11">
        <f t="shared" si="2"/>
        <v>-4928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112445</v>
      </c>
      <c r="C22" s="11">
        <v>172381</v>
      </c>
      <c r="D22" s="11"/>
      <c r="E22" s="11">
        <v>-59185</v>
      </c>
      <c r="F22" s="11">
        <f t="shared" si="2"/>
        <v>751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148433</v>
      </c>
      <c r="C23" s="11">
        <v>166477</v>
      </c>
      <c r="D23" s="11"/>
      <c r="E23" s="11">
        <v>-19217</v>
      </c>
      <c r="F23" s="11">
        <f t="shared" si="2"/>
        <v>-1173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>
        <v>204459</v>
      </c>
      <c r="C24" s="11">
        <v>210829</v>
      </c>
      <c r="D24" s="11"/>
      <c r="E24" s="11">
        <v>-6955</v>
      </c>
      <c r="F24" s="11">
        <f t="shared" si="2"/>
        <v>-585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>
        <v>199372</v>
      </c>
      <c r="C25" s="11">
        <v>203181</v>
      </c>
      <c r="D25" s="11"/>
      <c r="E25" s="11">
        <v>-4884</v>
      </c>
      <c r="F25" s="11">
        <f t="shared" si="2"/>
        <v>-1075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>
        <v>204449</v>
      </c>
      <c r="C26" s="11">
        <v>203190</v>
      </c>
      <c r="D26" s="11"/>
      <c r="E26" s="11"/>
      <c r="F26" s="11">
        <f t="shared" si="2"/>
        <v>-1259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>
        <v>177233</v>
      </c>
      <c r="C27" s="11">
        <v>203175</v>
      </c>
      <c r="D27" s="11"/>
      <c r="E27" s="11">
        <v>-26546</v>
      </c>
      <c r="F27" s="11">
        <f t="shared" si="2"/>
        <v>-604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>
        <v>192937</v>
      </c>
      <c r="C28" s="11">
        <v>192202</v>
      </c>
      <c r="D28" s="11"/>
      <c r="E28" s="11"/>
      <c r="F28" s="11">
        <f t="shared" si="2"/>
        <v>-735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>
        <v>200700</v>
      </c>
      <c r="C29" s="11">
        <v>211899</v>
      </c>
      <c r="D29" s="11"/>
      <c r="E29" s="11">
        <v>-1429</v>
      </c>
      <c r="F29" s="11">
        <f t="shared" si="2"/>
        <v>9770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>
        <v>165468</v>
      </c>
      <c r="C30" s="11">
        <v>173539</v>
      </c>
      <c r="D30" s="11"/>
      <c r="E30" s="11">
        <v>-8932</v>
      </c>
      <c r="F30" s="11">
        <f t="shared" si="2"/>
        <v>-861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>
        <v>185436</v>
      </c>
      <c r="C31" s="11">
        <v>188983</v>
      </c>
      <c r="D31" s="11"/>
      <c r="E31" s="11">
        <v>-1272</v>
      </c>
      <c r="F31" s="11">
        <f t="shared" si="2"/>
        <v>2275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>
        <v>197540</v>
      </c>
      <c r="C32" s="11">
        <v>223277</v>
      </c>
      <c r="D32" s="11"/>
      <c r="E32" s="11">
        <v>-26591</v>
      </c>
      <c r="F32" s="11">
        <f t="shared" si="2"/>
        <v>-854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4906489</v>
      </c>
      <c r="C36" s="11">
        <f>SUM(C5:C35)</f>
        <v>5559921</v>
      </c>
      <c r="D36" s="11">
        <f>SUM(D5:D35)</f>
        <v>0</v>
      </c>
      <c r="E36" s="11">
        <f>SUM(E5:E35)</f>
        <v>-661047</v>
      </c>
      <c r="F36" s="11">
        <f>SUM(F5:F35)</f>
        <v>-7615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37072</v>
      </c>
      <c r="F39" s="388">
        <v>11234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37100</v>
      </c>
      <c r="F41" s="357">
        <f>+F39+F36</f>
        <v>3619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275"/>
      <c r="E48" s="11"/>
      <c r="F48" s="11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3" workbookViewId="3">
      <selection activeCell="C36" sqref="C36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27686</v>
      </c>
      <c r="C8" s="11">
        <v>27476</v>
      </c>
      <c r="D8" s="11">
        <f>+C8-B8</f>
        <v>-210</v>
      </c>
      <c r="E8" s="10"/>
      <c r="F8" s="11"/>
      <c r="G8" s="11"/>
      <c r="H8" s="11"/>
    </row>
    <row r="9" spans="1:8" x14ac:dyDescent="0.25">
      <c r="A9" s="10">
        <v>2</v>
      </c>
      <c r="B9" s="11">
        <v>27971</v>
      </c>
      <c r="C9" s="11">
        <v>27476</v>
      </c>
      <c r="D9" s="11">
        <f t="shared" ref="D9:D38" si="0">+C9-B9</f>
        <v>-495</v>
      </c>
      <c r="E9" s="10"/>
      <c r="F9" s="11"/>
      <c r="G9" s="11"/>
      <c r="H9" s="11"/>
    </row>
    <row r="10" spans="1:8" x14ac:dyDescent="0.25">
      <c r="A10" s="10">
        <v>3</v>
      </c>
      <c r="B10" s="11">
        <v>81478</v>
      </c>
      <c r="C10" s="11">
        <v>81305</v>
      </c>
      <c r="D10" s="11">
        <f t="shared" si="0"/>
        <v>-173</v>
      </c>
      <c r="E10" s="10"/>
      <c r="F10" s="11"/>
      <c r="G10" s="11"/>
      <c r="H10" s="11"/>
    </row>
    <row r="11" spans="1:8" x14ac:dyDescent="0.25">
      <c r="A11" s="10">
        <v>4</v>
      </c>
      <c r="B11" s="11">
        <v>92416</v>
      </c>
      <c r="C11" s="11">
        <v>92044</v>
      </c>
      <c r="D11" s="11">
        <f t="shared" si="0"/>
        <v>-372</v>
      </c>
      <c r="E11" s="10"/>
      <c r="F11" s="11"/>
      <c r="G11" s="11"/>
      <c r="H11" s="11"/>
    </row>
    <row r="12" spans="1:8" x14ac:dyDescent="0.25">
      <c r="A12" s="10">
        <v>5</v>
      </c>
      <c r="B12" s="11">
        <v>104180</v>
      </c>
      <c r="C12" s="11">
        <v>107044</v>
      </c>
      <c r="D12" s="11">
        <f t="shared" si="0"/>
        <v>2864</v>
      </c>
      <c r="E12" s="10"/>
      <c r="F12" s="11"/>
      <c r="G12" s="11"/>
      <c r="H12" s="11"/>
    </row>
    <row r="13" spans="1:8" x14ac:dyDescent="0.25">
      <c r="A13" s="10">
        <v>6</v>
      </c>
      <c r="B13" s="11">
        <v>85005</v>
      </c>
      <c r="C13" s="11">
        <v>84253</v>
      </c>
      <c r="D13" s="11">
        <f t="shared" si="0"/>
        <v>-752</v>
      </c>
      <c r="E13" s="10"/>
      <c r="F13" s="11"/>
      <c r="G13" s="11"/>
      <c r="H13" s="11"/>
    </row>
    <row r="14" spans="1:8" x14ac:dyDescent="0.25">
      <c r="A14" s="10">
        <v>7</v>
      </c>
      <c r="B14" s="11">
        <v>102170</v>
      </c>
      <c r="C14" s="11">
        <v>103816</v>
      </c>
      <c r="D14" s="11">
        <f t="shared" si="0"/>
        <v>1646</v>
      </c>
      <c r="E14" s="10"/>
      <c r="F14" s="11"/>
      <c r="G14" s="11"/>
      <c r="H14" s="11"/>
    </row>
    <row r="15" spans="1:8" x14ac:dyDescent="0.25">
      <c r="A15" s="10">
        <v>8</v>
      </c>
      <c r="B15" s="11">
        <v>101849</v>
      </c>
      <c r="C15" s="11">
        <v>97816</v>
      </c>
      <c r="D15" s="11">
        <f t="shared" si="0"/>
        <v>-4033</v>
      </c>
      <c r="E15" s="10"/>
      <c r="F15" s="11"/>
      <c r="G15" s="11"/>
      <c r="H15" s="11"/>
    </row>
    <row r="16" spans="1:8" x14ac:dyDescent="0.25">
      <c r="A16" s="10">
        <v>9</v>
      </c>
      <c r="B16" s="11">
        <v>101901</v>
      </c>
      <c r="C16" s="11">
        <v>101981</v>
      </c>
      <c r="D16" s="11">
        <f t="shared" si="0"/>
        <v>80</v>
      </c>
      <c r="E16" s="10"/>
      <c r="F16" s="11"/>
      <c r="G16" s="11"/>
      <c r="H16" s="11"/>
    </row>
    <row r="17" spans="1:8" x14ac:dyDescent="0.25">
      <c r="A17" s="10">
        <v>10</v>
      </c>
      <c r="B17" s="11">
        <v>80229</v>
      </c>
      <c r="C17" s="11">
        <v>79575</v>
      </c>
      <c r="D17" s="11">
        <f t="shared" si="0"/>
        <v>-654</v>
      </c>
      <c r="E17" s="10"/>
      <c r="F17" s="11"/>
      <c r="G17" s="11"/>
      <c r="H17" s="11"/>
    </row>
    <row r="18" spans="1:8" x14ac:dyDescent="0.25">
      <c r="A18" s="10">
        <v>11</v>
      </c>
      <c r="B18" s="11">
        <v>91609</v>
      </c>
      <c r="C18" s="11">
        <v>91496</v>
      </c>
      <c r="D18" s="11">
        <f t="shared" si="0"/>
        <v>-113</v>
      </c>
      <c r="E18" s="10"/>
      <c r="F18" s="11"/>
      <c r="G18" s="11"/>
      <c r="H18" s="11"/>
    </row>
    <row r="19" spans="1:8" x14ac:dyDescent="0.25">
      <c r="A19" s="10">
        <v>12</v>
      </c>
      <c r="B19" s="11">
        <v>91776</v>
      </c>
      <c r="C19" s="11">
        <v>91496</v>
      </c>
      <c r="D19" s="11">
        <f t="shared" si="0"/>
        <v>-280</v>
      </c>
      <c r="E19" s="10"/>
      <c r="F19" s="11"/>
      <c r="G19" s="11"/>
      <c r="H19" s="11"/>
    </row>
    <row r="20" spans="1:8" x14ac:dyDescent="0.25">
      <c r="A20" s="10">
        <v>13</v>
      </c>
      <c r="B20" s="11">
        <v>98890</v>
      </c>
      <c r="C20" s="11">
        <v>98105</v>
      </c>
      <c r="D20" s="11">
        <f t="shared" si="0"/>
        <v>-785</v>
      </c>
      <c r="E20" s="10"/>
      <c r="F20" s="11"/>
      <c r="G20" s="11"/>
      <c r="H20" s="11"/>
    </row>
    <row r="21" spans="1:8" x14ac:dyDescent="0.25">
      <c r="A21" s="10">
        <v>14</v>
      </c>
      <c r="B21" s="11">
        <v>95006</v>
      </c>
      <c r="C21" s="11">
        <v>95675</v>
      </c>
      <c r="D21" s="11">
        <f t="shared" si="0"/>
        <v>669</v>
      </c>
      <c r="E21" s="10"/>
      <c r="F21" s="11"/>
      <c r="G21" s="11"/>
      <c r="H21" s="11"/>
    </row>
    <row r="22" spans="1:8" x14ac:dyDescent="0.25">
      <c r="A22" s="10">
        <v>15</v>
      </c>
      <c r="B22" s="11">
        <v>98127</v>
      </c>
      <c r="C22" s="11">
        <v>90791</v>
      </c>
      <c r="D22" s="11">
        <f t="shared" si="0"/>
        <v>-7336</v>
      </c>
      <c r="E22" s="10"/>
      <c r="F22" s="11"/>
      <c r="G22" s="11"/>
      <c r="H22" s="11"/>
    </row>
    <row r="23" spans="1:8" x14ac:dyDescent="0.25">
      <c r="A23" s="10">
        <v>16</v>
      </c>
      <c r="B23" s="11">
        <v>95603</v>
      </c>
      <c r="C23" s="11">
        <v>94316</v>
      </c>
      <c r="D23" s="11">
        <f t="shared" si="0"/>
        <v>-1287</v>
      </c>
      <c r="E23" s="10"/>
      <c r="F23" s="11"/>
      <c r="G23" s="11"/>
      <c r="H23" s="11"/>
    </row>
    <row r="24" spans="1:8" x14ac:dyDescent="0.25">
      <c r="A24" s="10">
        <v>17</v>
      </c>
      <c r="B24" s="11">
        <v>67072</v>
      </c>
      <c r="C24" s="11">
        <v>66798</v>
      </c>
      <c r="D24" s="11">
        <f t="shared" si="0"/>
        <v>-274</v>
      </c>
      <c r="E24" s="10"/>
      <c r="F24" s="11"/>
      <c r="G24" s="11"/>
      <c r="H24" s="11"/>
    </row>
    <row r="25" spans="1:8" x14ac:dyDescent="0.25">
      <c r="A25" s="10">
        <v>18</v>
      </c>
      <c r="B25" s="11">
        <v>100738</v>
      </c>
      <c r="C25" s="11">
        <v>99995</v>
      </c>
      <c r="D25" s="11">
        <f t="shared" si="0"/>
        <v>-743</v>
      </c>
      <c r="E25" s="10"/>
      <c r="F25" s="11"/>
      <c r="G25" s="11"/>
      <c r="H25" s="11"/>
    </row>
    <row r="26" spans="1:8" x14ac:dyDescent="0.25">
      <c r="A26" s="10">
        <v>19</v>
      </c>
      <c r="B26" s="11">
        <v>55492</v>
      </c>
      <c r="C26" s="11">
        <v>54364</v>
      </c>
      <c r="D26" s="11">
        <f t="shared" si="0"/>
        <v>-1128</v>
      </c>
      <c r="E26" s="10"/>
      <c r="F26" s="11"/>
      <c r="G26" s="11"/>
      <c r="H26" s="11"/>
    </row>
    <row r="27" spans="1:8" x14ac:dyDescent="0.25">
      <c r="A27" s="10">
        <v>20</v>
      </c>
      <c r="B27" s="11">
        <v>93233</v>
      </c>
      <c r="C27" s="11">
        <v>93294</v>
      </c>
      <c r="D27" s="11">
        <f t="shared" si="0"/>
        <v>61</v>
      </c>
      <c r="E27" s="10"/>
      <c r="F27" s="11"/>
      <c r="G27" s="11"/>
      <c r="H27" s="11"/>
    </row>
    <row r="28" spans="1:8" x14ac:dyDescent="0.25">
      <c r="A28" s="10">
        <v>21</v>
      </c>
      <c r="B28" s="11">
        <v>96401</v>
      </c>
      <c r="C28" s="11">
        <v>95424</v>
      </c>
      <c r="D28" s="11">
        <f t="shared" si="0"/>
        <v>-977</v>
      </c>
      <c r="E28" s="10"/>
      <c r="F28" s="11"/>
      <c r="G28" s="11"/>
      <c r="H28" s="11"/>
    </row>
    <row r="29" spans="1:8" x14ac:dyDescent="0.25">
      <c r="A29" s="10">
        <v>22</v>
      </c>
      <c r="B29" s="11">
        <v>89787</v>
      </c>
      <c r="C29" s="11">
        <v>94660</v>
      </c>
      <c r="D29" s="11">
        <f t="shared" si="0"/>
        <v>4873</v>
      </c>
      <c r="E29" s="10"/>
      <c r="F29" s="11"/>
      <c r="G29" s="11"/>
      <c r="H29" s="11"/>
    </row>
    <row r="30" spans="1:8" x14ac:dyDescent="0.25">
      <c r="A30" s="10">
        <v>23</v>
      </c>
      <c r="B30" s="11">
        <v>100699</v>
      </c>
      <c r="C30" s="11">
        <v>99994</v>
      </c>
      <c r="D30" s="11">
        <f t="shared" si="0"/>
        <v>-705</v>
      </c>
      <c r="E30" s="10"/>
      <c r="F30" s="11"/>
      <c r="G30" s="11"/>
      <c r="H30" s="11"/>
    </row>
    <row r="31" spans="1:8" x14ac:dyDescent="0.25">
      <c r="A31" s="10">
        <v>24</v>
      </c>
      <c r="B31" s="11">
        <v>110724</v>
      </c>
      <c r="C31" s="11">
        <v>108866</v>
      </c>
      <c r="D31" s="11">
        <f t="shared" si="0"/>
        <v>-1858</v>
      </c>
      <c r="E31" s="10"/>
      <c r="F31" s="11"/>
      <c r="G31" s="11"/>
      <c r="H31" s="11"/>
    </row>
    <row r="32" spans="1:8" x14ac:dyDescent="0.25">
      <c r="A32" s="10">
        <v>25</v>
      </c>
      <c r="B32" s="11">
        <v>114730</v>
      </c>
      <c r="C32" s="11">
        <v>114272</v>
      </c>
      <c r="D32" s="11">
        <f t="shared" si="0"/>
        <v>-458</v>
      </c>
      <c r="E32" s="10"/>
      <c r="F32" s="11"/>
      <c r="G32" s="11"/>
      <c r="H32" s="11"/>
    </row>
    <row r="33" spans="1:8" x14ac:dyDescent="0.25">
      <c r="A33" s="10">
        <v>26</v>
      </c>
      <c r="B33" s="11">
        <v>112198</v>
      </c>
      <c r="C33" s="11">
        <v>111512</v>
      </c>
      <c r="D33" s="11">
        <f t="shared" si="0"/>
        <v>-686</v>
      </c>
      <c r="E33" s="10"/>
      <c r="F33" s="11"/>
      <c r="G33" s="11"/>
      <c r="H33" s="11"/>
    </row>
    <row r="34" spans="1:8" x14ac:dyDescent="0.25">
      <c r="A34" s="10">
        <v>27</v>
      </c>
      <c r="B34" s="11">
        <v>115788</v>
      </c>
      <c r="C34" s="11">
        <v>115496</v>
      </c>
      <c r="D34" s="11">
        <f t="shared" si="0"/>
        <v>-292</v>
      </c>
      <c r="E34" s="10"/>
      <c r="F34" s="11"/>
      <c r="G34" s="11"/>
      <c r="H34" s="11"/>
    </row>
    <row r="35" spans="1:8" x14ac:dyDescent="0.25">
      <c r="A35" s="10">
        <v>28</v>
      </c>
      <c r="B35" s="11">
        <v>105783</v>
      </c>
      <c r="C35" s="11">
        <v>112100</v>
      </c>
      <c r="D35" s="11">
        <f t="shared" si="0"/>
        <v>6317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2538541</v>
      </c>
      <c r="C39" s="11">
        <f>SUM(C8:C38)</f>
        <v>2531440</v>
      </c>
      <c r="D39" s="11">
        <f>SUM(D8:D38)</f>
        <v>-7101</v>
      </c>
      <c r="E39" s="10"/>
      <c r="F39" s="11"/>
      <c r="G39" s="11"/>
      <c r="H39" s="11"/>
    </row>
    <row r="40" spans="1:8" x14ac:dyDescent="0.25">
      <c r="A40" s="26"/>
      <c r="D40" s="75">
        <f>+summary!H4</f>
        <v>2.76</v>
      </c>
      <c r="E40" s="26"/>
      <c r="H40" s="75"/>
    </row>
    <row r="41" spans="1:8" x14ac:dyDescent="0.25">
      <c r="D41" s="197">
        <f>+D40*D39</f>
        <v>-19598.759999999998</v>
      </c>
      <c r="F41" s="253"/>
      <c r="H41" s="197"/>
    </row>
    <row r="42" spans="1:8" x14ac:dyDescent="0.25">
      <c r="A42" s="57">
        <v>37072</v>
      </c>
      <c r="D42" s="386">
        <v>48879.09</v>
      </c>
      <c r="E42" s="57"/>
      <c r="H42" s="197"/>
    </row>
    <row r="43" spans="1:8" x14ac:dyDescent="0.25">
      <c r="A43" s="57">
        <v>37100</v>
      </c>
      <c r="D43" s="198">
        <f>+D42+D41</f>
        <v>29280.329999999998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topLeftCell="A3" workbookViewId="3">
      <selection activeCell="B7" sqref="B7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6" width="11.6640625" bestFit="1" customWidth="1"/>
    <col min="8" max="8" width="12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7">
        <v>37072</v>
      </c>
      <c r="C5" s="385">
        <v>979244.42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37100</v>
      </c>
      <c r="G7" s="32"/>
      <c r="H7" s="15"/>
      <c r="I7" s="32"/>
      <c r="J7" s="32"/>
    </row>
    <row r="8" spans="1:10" x14ac:dyDescent="0.25">
      <c r="A8" s="254">
        <v>60874</v>
      </c>
      <c r="B8" s="365">
        <v>4568</v>
      </c>
      <c r="G8" s="32"/>
      <c r="H8" s="15"/>
      <c r="I8" s="32"/>
      <c r="J8" s="32"/>
    </row>
    <row r="9" spans="1:10" x14ac:dyDescent="0.25">
      <c r="A9" s="32">
        <v>500235</v>
      </c>
      <c r="B9" s="14"/>
      <c r="G9" s="32"/>
      <c r="H9" s="15"/>
      <c r="I9" s="32"/>
      <c r="J9" s="32"/>
    </row>
    <row r="10" spans="1:10" x14ac:dyDescent="0.25">
      <c r="A10" s="254">
        <v>500248</v>
      </c>
      <c r="B10" s="367">
        <f>22664-28249</f>
        <v>-5585</v>
      </c>
      <c r="G10" s="32"/>
      <c r="H10" s="15"/>
      <c r="I10" s="32"/>
      <c r="J10" s="32"/>
    </row>
    <row r="11" spans="1:10" x14ac:dyDescent="0.25">
      <c r="A11" s="254">
        <v>500251</v>
      </c>
      <c r="B11" s="334">
        <f>-16611-15726</f>
        <v>-32337</v>
      </c>
      <c r="G11" s="32"/>
      <c r="H11" s="15"/>
      <c r="I11" s="32"/>
      <c r="J11" s="32"/>
    </row>
    <row r="12" spans="1:10" x14ac:dyDescent="0.25">
      <c r="A12" s="254">
        <v>500254</v>
      </c>
      <c r="B12" s="334">
        <f>2768-3921</f>
        <v>-1153</v>
      </c>
      <c r="G12" s="32"/>
      <c r="H12" s="15"/>
      <c r="I12" s="32"/>
      <c r="J12" s="32"/>
    </row>
    <row r="13" spans="1:10" x14ac:dyDescent="0.25">
      <c r="A13" s="32">
        <v>500255</v>
      </c>
      <c r="B13" s="334">
        <f>16612-15991</f>
        <v>621</v>
      </c>
      <c r="G13" s="32"/>
      <c r="H13" s="15"/>
      <c r="I13" s="32"/>
      <c r="J13" s="32"/>
    </row>
    <row r="14" spans="1:10" x14ac:dyDescent="0.25">
      <c r="A14" s="32">
        <v>500262</v>
      </c>
      <c r="B14" s="334">
        <f>6921-10563</f>
        <v>-3642</v>
      </c>
      <c r="G14" s="32"/>
      <c r="H14" s="15"/>
      <c r="I14" s="32"/>
      <c r="J14" s="32"/>
    </row>
    <row r="15" spans="1:10" x14ac:dyDescent="0.25">
      <c r="A15" s="291">
        <v>500267</v>
      </c>
      <c r="B15" s="366">
        <f>1647587-1592343</f>
        <v>55244</v>
      </c>
      <c r="G15" s="32"/>
      <c r="H15" s="15"/>
      <c r="I15" s="32"/>
      <c r="J15" s="32"/>
    </row>
    <row r="16" spans="1:10" x14ac:dyDescent="0.25">
      <c r="B16" s="14">
        <f>SUM(B8:B15)</f>
        <v>17716</v>
      </c>
      <c r="G16" s="32"/>
      <c r="H16" s="15"/>
      <c r="I16" s="32"/>
      <c r="J16" s="32"/>
    </row>
    <row r="17" spans="1:10" x14ac:dyDescent="0.25">
      <c r="B17" s="15">
        <f>+B30</f>
        <v>2.76</v>
      </c>
      <c r="C17" s="201">
        <f>+B17*B16</f>
        <v>48896.159999999996</v>
      </c>
      <c r="G17" s="32"/>
      <c r="H17" s="15"/>
      <c r="I17" s="32"/>
      <c r="J17" s="32"/>
    </row>
    <row r="18" spans="1:10" x14ac:dyDescent="0.25">
      <c r="C18" s="342">
        <f>+C17+C5</f>
        <v>1028140.5800000001</v>
      </c>
      <c r="E18" s="15"/>
      <c r="G18" s="32"/>
      <c r="H18" s="15"/>
      <c r="I18" s="32"/>
      <c r="J18" s="32"/>
    </row>
    <row r="19" spans="1:10" x14ac:dyDescent="0.25">
      <c r="E19" s="15"/>
      <c r="G19" s="32"/>
      <c r="H19" s="15"/>
      <c r="I19" s="32"/>
      <c r="J19" s="32"/>
    </row>
    <row r="20" spans="1:10" x14ac:dyDescent="0.25">
      <c r="A20" s="32" t="s">
        <v>89</v>
      </c>
      <c r="G20" s="32"/>
      <c r="H20" s="15"/>
      <c r="I20" s="32"/>
      <c r="J20" s="32"/>
    </row>
    <row r="21" spans="1:10" x14ac:dyDescent="0.25">
      <c r="A21" s="2" t="s">
        <v>76</v>
      </c>
      <c r="G21" s="32"/>
      <c r="H21" s="15"/>
      <c r="I21" s="32"/>
      <c r="J21" s="32"/>
    </row>
    <row r="22" spans="1:10" x14ac:dyDescent="0.25">
      <c r="G22" s="32"/>
      <c r="H22" s="15"/>
      <c r="I22" s="32"/>
      <c r="J22" s="32"/>
    </row>
    <row r="23" spans="1:10" x14ac:dyDescent="0.25">
      <c r="G23" s="32"/>
      <c r="H23" s="15"/>
      <c r="I23" s="32"/>
      <c r="J23" s="32"/>
    </row>
    <row r="24" spans="1:10" x14ac:dyDescent="0.25">
      <c r="A24" s="200">
        <v>37072</v>
      </c>
      <c r="C24" s="385">
        <v>275313.71999999997</v>
      </c>
      <c r="G24" s="32"/>
      <c r="H24" s="15"/>
      <c r="I24" s="32"/>
      <c r="J24" s="32"/>
    </row>
    <row r="25" spans="1:10" x14ac:dyDescent="0.25">
      <c r="F25" s="268"/>
      <c r="G25" s="32"/>
      <c r="H25" s="15"/>
      <c r="I25" s="32"/>
      <c r="J25" s="32"/>
    </row>
    <row r="26" spans="1:10" x14ac:dyDescent="0.25">
      <c r="A26" s="57">
        <v>37100</v>
      </c>
      <c r="G26" s="32"/>
      <c r="H26" s="15"/>
      <c r="I26" s="32"/>
      <c r="J26" s="32"/>
    </row>
    <row r="27" spans="1:10" x14ac:dyDescent="0.25">
      <c r="A27" s="32">
        <v>9164</v>
      </c>
      <c r="B27" s="212"/>
      <c r="G27" s="32"/>
      <c r="H27" s="15"/>
      <c r="I27" s="32"/>
      <c r="J27" s="32"/>
    </row>
    <row r="28" spans="1:10" x14ac:dyDescent="0.25">
      <c r="A28" s="32">
        <v>9167</v>
      </c>
      <c r="B28" s="212"/>
    </row>
    <row r="29" spans="1:10" x14ac:dyDescent="0.25">
      <c r="B29" s="14">
        <f>+B28+B27</f>
        <v>0</v>
      </c>
    </row>
    <row r="30" spans="1:10" x14ac:dyDescent="0.25">
      <c r="B30" s="15">
        <f>+summary!H4</f>
        <v>2.76</v>
      </c>
      <c r="C30" s="201">
        <f>+B30*B29</f>
        <v>0</v>
      </c>
    </row>
    <row r="31" spans="1:10" x14ac:dyDescent="0.25">
      <c r="C31" s="342">
        <f>+C30+C24</f>
        <v>275313.71999999997</v>
      </c>
      <c r="E31" s="15"/>
    </row>
    <row r="33" spans="1:6" x14ac:dyDescent="0.25">
      <c r="E33" s="273"/>
    </row>
    <row r="34" spans="1:6" x14ac:dyDescent="0.25">
      <c r="A34" s="32" t="s">
        <v>89</v>
      </c>
      <c r="E34" s="15"/>
    </row>
    <row r="35" spans="1:6" x14ac:dyDescent="0.25">
      <c r="A35" s="32" t="s">
        <v>77</v>
      </c>
      <c r="E35" s="15"/>
    </row>
    <row r="38" spans="1:6" x14ac:dyDescent="0.25">
      <c r="A38" s="49">
        <v>37072</v>
      </c>
      <c r="C38" s="385">
        <v>702469.37</v>
      </c>
      <c r="E38" s="15"/>
      <c r="F38" s="268"/>
    </row>
    <row r="40" spans="1:6" x14ac:dyDescent="0.25">
      <c r="A40" s="250">
        <v>37100</v>
      </c>
    </row>
    <row r="41" spans="1:6" x14ac:dyDescent="0.25">
      <c r="A41" s="254">
        <v>500241</v>
      </c>
      <c r="B41" s="14"/>
    </row>
    <row r="42" spans="1:6" x14ac:dyDescent="0.25">
      <c r="A42" s="32">
        <v>500391</v>
      </c>
      <c r="B42" s="212">
        <v>7495</v>
      </c>
    </row>
    <row r="43" spans="1:6" x14ac:dyDescent="0.25">
      <c r="A43" s="32">
        <v>500392</v>
      </c>
      <c r="B43" s="258">
        <v>1732</v>
      </c>
    </row>
    <row r="44" spans="1:6" x14ac:dyDescent="0.25">
      <c r="B44" s="14">
        <f>SUM(B41:B43)</f>
        <v>9227</v>
      </c>
    </row>
    <row r="45" spans="1:6" x14ac:dyDescent="0.25">
      <c r="B45" s="201">
        <f>+B30</f>
        <v>2.76</v>
      </c>
      <c r="C45" s="201">
        <f>+B45*B44</f>
        <v>25466.519999999997</v>
      </c>
    </row>
    <row r="46" spans="1:6" x14ac:dyDescent="0.25">
      <c r="C46" s="342">
        <f>+C45+C38</f>
        <v>727935.89</v>
      </c>
      <c r="E46" s="206"/>
    </row>
    <row r="47" spans="1:6" x14ac:dyDescent="0.25">
      <c r="E47" s="217"/>
    </row>
    <row r="48" spans="1:6" x14ac:dyDescent="0.25">
      <c r="E48" s="206"/>
    </row>
    <row r="49" spans="1:9" x14ac:dyDescent="0.25">
      <c r="C49" s="326"/>
      <c r="E49" s="217"/>
    </row>
    <row r="50" spans="1:9" x14ac:dyDescent="0.25">
      <c r="A50" s="32" t="s">
        <v>89</v>
      </c>
      <c r="C50" s="255"/>
    </row>
    <row r="51" spans="1:9" x14ac:dyDescent="0.25">
      <c r="A51" s="32">
        <v>21665</v>
      </c>
      <c r="B51" s="15" t="s">
        <v>142</v>
      </c>
      <c r="C51" s="383">
        <v>73449.16</v>
      </c>
      <c r="D51" s="32" t="s">
        <v>123</v>
      </c>
      <c r="E51" s="50"/>
      <c r="H51" s="335"/>
    </row>
    <row r="52" spans="1:9" x14ac:dyDescent="0.25">
      <c r="A52" s="32">
        <v>22664</v>
      </c>
      <c r="B52" s="15" t="s">
        <v>142</v>
      </c>
      <c r="C52" s="384">
        <v>23612.35</v>
      </c>
      <c r="D52" s="32" t="s">
        <v>124</v>
      </c>
    </row>
    <row r="53" spans="1:9" x14ac:dyDescent="0.25">
      <c r="A53" s="32">
        <v>20248</v>
      </c>
      <c r="B53" s="15" t="s">
        <v>143</v>
      </c>
      <c r="C53" s="332">
        <v>141061.91</v>
      </c>
      <c r="D53" s="15"/>
      <c r="E53" s="15"/>
      <c r="H53" s="333"/>
    </row>
    <row r="54" spans="1:9" x14ac:dyDescent="0.25">
      <c r="A54" s="32">
        <v>25873</v>
      </c>
      <c r="C54" s="332">
        <v>-259</v>
      </c>
      <c r="D54" s="15"/>
      <c r="H54" s="15"/>
    </row>
    <row r="55" spans="1:9" x14ac:dyDescent="0.25">
      <c r="A55" s="32">
        <v>26758</v>
      </c>
      <c r="C55" s="332">
        <v>-596</v>
      </c>
      <c r="D55" s="15"/>
      <c r="H55" s="15"/>
    </row>
    <row r="56" spans="1:9" x14ac:dyDescent="0.25">
      <c r="A56" s="32">
        <v>26372</v>
      </c>
      <c r="C56" s="332">
        <v>2997.09</v>
      </c>
      <c r="D56" s="15"/>
      <c r="H56" s="15"/>
    </row>
    <row r="57" spans="1:9" x14ac:dyDescent="0.25">
      <c r="A57" s="32">
        <v>26700</v>
      </c>
      <c r="C57" s="332">
        <v>4077.9</v>
      </c>
      <c r="D57" s="15"/>
      <c r="H57" s="333"/>
    </row>
    <row r="58" spans="1:9" x14ac:dyDescent="0.25">
      <c r="A58" s="32">
        <v>26422</v>
      </c>
      <c r="C58" s="332">
        <v>8155.8</v>
      </c>
      <c r="D58" s="15"/>
      <c r="H58" s="47"/>
    </row>
    <row r="59" spans="1:9" x14ac:dyDescent="0.25">
      <c r="A59" s="32">
        <v>26661</v>
      </c>
      <c r="C59" s="332">
        <v>146862.35</v>
      </c>
      <c r="D59" s="15"/>
      <c r="H59" s="345"/>
      <c r="I59" s="32"/>
    </row>
    <row r="60" spans="1:9" x14ac:dyDescent="0.25">
      <c r="A60" s="32">
        <v>27291</v>
      </c>
      <c r="C60" s="332">
        <v>-17965</v>
      </c>
      <c r="D60" s="15"/>
    </row>
    <row r="61" spans="1:9" x14ac:dyDescent="0.25">
      <c r="A61" s="32">
        <v>27137</v>
      </c>
      <c r="C61" s="332">
        <v>-67.28</v>
      </c>
      <c r="D61" s="15"/>
    </row>
    <row r="62" spans="1:9" x14ac:dyDescent="0.25">
      <c r="A62" s="32">
        <v>27123</v>
      </c>
      <c r="C62" s="429">
        <v>-6425.19</v>
      </c>
      <c r="D62" s="15"/>
      <c r="G62">
        <v>70169</v>
      </c>
      <c r="H62">
        <v>269686.67</v>
      </c>
    </row>
    <row r="63" spans="1:9" x14ac:dyDescent="0.25">
      <c r="C63" s="333">
        <f>+C18+C31+C46+C51+C52+C53+C54+C55+C56+C57+C58+C59+C60+C61+C62</f>
        <v>2406294.2800000003</v>
      </c>
      <c r="G63">
        <v>3940</v>
      </c>
      <c r="H63">
        <v>8155.8</v>
      </c>
    </row>
    <row r="64" spans="1:9" x14ac:dyDescent="0.25">
      <c r="C64" s="333"/>
      <c r="G64">
        <f>+G63+G62</f>
        <v>74109</v>
      </c>
      <c r="H64">
        <f>+H63+H62</f>
        <v>277842.46999999997</v>
      </c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33" workbookViewId="3">
      <selection activeCell="E28" sqref="E28"/>
    </sheetView>
  </sheetViews>
  <sheetFormatPr defaultRowHeight="13.2" x14ac:dyDescent="0.25"/>
  <cols>
    <col min="3" max="3" width="9.88671875" bestFit="1" customWidth="1"/>
    <col min="6" max="6" width="9" bestFit="1" customWidth="1"/>
    <col min="7" max="7" width="9.5546875" bestFit="1" customWidth="1"/>
    <col min="8" max="8" width="12" bestFit="1" customWidth="1"/>
    <col min="9" max="9" width="12.6640625" customWidth="1"/>
  </cols>
  <sheetData>
    <row r="1" spans="1:10" x14ac:dyDescent="0.25">
      <c r="A1" s="54"/>
      <c r="B1" s="330">
        <v>23995</v>
      </c>
      <c r="C1" s="236"/>
      <c r="D1" s="329">
        <v>22051</v>
      </c>
      <c r="F1" s="2">
        <v>22051</v>
      </c>
      <c r="H1" s="118"/>
    </row>
    <row r="2" spans="1:10" x14ac:dyDescent="0.25">
      <c r="B2" s="12">
        <v>59687</v>
      </c>
      <c r="D2" s="12">
        <v>10703</v>
      </c>
      <c r="E2" s="4"/>
      <c r="F2" s="12">
        <v>78169</v>
      </c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115"/>
    </row>
    <row r="4" spans="1:10" x14ac:dyDescent="0.25">
      <c r="A4" s="10">
        <v>1</v>
      </c>
      <c r="B4" s="11">
        <v>0</v>
      </c>
      <c r="C4" s="11">
        <v>0</v>
      </c>
      <c r="D4" s="11">
        <v>24670</v>
      </c>
      <c r="E4" s="11">
        <v>23460</v>
      </c>
      <c r="F4" s="11">
        <v>5859</v>
      </c>
      <c r="G4" s="11">
        <v>5072</v>
      </c>
      <c r="H4" s="11">
        <f>+E4+C4-D4-B4+G4-F4</f>
        <v>-1997</v>
      </c>
      <c r="I4" s="11"/>
      <c r="J4" s="24"/>
    </row>
    <row r="5" spans="1:10" x14ac:dyDescent="0.25">
      <c r="A5" s="10">
        <v>2</v>
      </c>
      <c r="B5" s="11">
        <v>0</v>
      </c>
      <c r="C5" s="11">
        <v>0</v>
      </c>
      <c r="D5" s="11">
        <v>24668</v>
      </c>
      <c r="E5" s="11">
        <v>23536</v>
      </c>
      <c r="F5" s="11">
        <v>5831</v>
      </c>
      <c r="G5" s="11">
        <v>5129</v>
      </c>
      <c r="H5" s="11">
        <f t="shared" ref="H5:H34" si="0">+E5+C5-D5-B5+G5-F5</f>
        <v>-1834</v>
      </c>
      <c r="I5" s="11"/>
      <c r="J5" s="24"/>
    </row>
    <row r="6" spans="1:10" x14ac:dyDescent="0.25">
      <c r="A6" s="10">
        <v>3</v>
      </c>
      <c r="B6" s="11">
        <v>0</v>
      </c>
      <c r="C6" s="11">
        <v>0</v>
      </c>
      <c r="D6" s="129">
        <v>24650</v>
      </c>
      <c r="E6" s="11">
        <v>24000</v>
      </c>
      <c r="F6" s="11">
        <v>5360</v>
      </c>
      <c r="G6" s="11">
        <v>5129</v>
      </c>
      <c r="H6" s="11">
        <f t="shared" si="0"/>
        <v>-881</v>
      </c>
      <c r="I6" s="11"/>
      <c r="J6" s="24"/>
    </row>
    <row r="7" spans="1:10" x14ac:dyDescent="0.25">
      <c r="A7" s="10">
        <v>4</v>
      </c>
      <c r="B7" s="11"/>
      <c r="C7" s="11"/>
      <c r="D7" s="129">
        <v>24663</v>
      </c>
      <c r="E7" s="11">
        <v>24000</v>
      </c>
      <c r="F7" s="11">
        <v>5420</v>
      </c>
      <c r="G7" s="11">
        <v>5126</v>
      </c>
      <c r="H7" s="11">
        <f t="shared" si="0"/>
        <v>-957</v>
      </c>
      <c r="I7" s="11"/>
      <c r="J7" s="24"/>
    </row>
    <row r="8" spans="1:10" x14ac:dyDescent="0.25">
      <c r="A8" s="10">
        <v>5</v>
      </c>
      <c r="B8" s="11"/>
      <c r="C8" s="11"/>
      <c r="D8" s="11">
        <v>24668</v>
      </c>
      <c r="E8" s="11">
        <v>24000</v>
      </c>
      <c r="F8" s="11">
        <v>5484</v>
      </c>
      <c r="G8" s="11">
        <v>5124</v>
      </c>
      <c r="H8" s="11">
        <f t="shared" si="0"/>
        <v>-1028</v>
      </c>
      <c r="I8" s="11"/>
      <c r="J8" s="24"/>
    </row>
    <row r="9" spans="1:10" x14ac:dyDescent="0.25">
      <c r="A9" s="10">
        <v>6</v>
      </c>
      <c r="B9" s="11"/>
      <c r="C9" s="11"/>
      <c r="D9" s="11">
        <v>24503</v>
      </c>
      <c r="E9" s="11">
        <v>24000</v>
      </c>
      <c r="F9" s="11">
        <v>5429</v>
      </c>
      <c r="G9" s="11">
        <v>5129</v>
      </c>
      <c r="H9" s="11">
        <f t="shared" si="0"/>
        <v>-803</v>
      </c>
      <c r="I9" s="11"/>
      <c r="J9" s="24"/>
    </row>
    <row r="10" spans="1:10" x14ac:dyDescent="0.25">
      <c r="A10" s="10">
        <v>7</v>
      </c>
      <c r="B10" s="11"/>
      <c r="C10" s="11"/>
      <c r="D10" s="11">
        <v>24451</v>
      </c>
      <c r="E10" s="11">
        <v>23999</v>
      </c>
      <c r="F10" s="108">
        <v>5242</v>
      </c>
      <c r="G10" s="11">
        <v>5129</v>
      </c>
      <c r="H10" s="11">
        <f t="shared" si="0"/>
        <v>-565</v>
      </c>
      <c r="I10" s="11"/>
      <c r="J10" s="24"/>
    </row>
    <row r="11" spans="1:10" x14ac:dyDescent="0.25">
      <c r="A11" s="10">
        <v>8</v>
      </c>
      <c r="B11" s="11"/>
      <c r="C11" s="11"/>
      <c r="D11" s="11">
        <v>24468</v>
      </c>
      <c r="E11" s="11">
        <v>23999</v>
      </c>
      <c r="F11" s="11">
        <v>5480</v>
      </c>
      <c r="G11" s="11">
        <v>5129</v>
      </c>
      <c r="H11" s="11">
        <f t="shared" si="0"/>
        <v>-820</v>
      </c>
      <c r="I11" s="11"/>
      <c r="J11" s="24"/>
    </row>
    <row r="12" spans="1:10" x14ac:dyDescent="0.25">
      <c r="A12" s="10">
        <v>9</v>
      </c>
      <c r="B12" s="11"/>
      <c r="C12" s="11"/>
      <c r="D12" s="11">
        <v>24443</v>
      </c>
      <c r="E12" s="11">
        <v>23999</v>
      </c>
      <c r="F12" s="11">
        <v>5410</v>
      </c>
      <c r="G12" s="11">
        <v>5129</v>
      </c>
      <c r="H12" s="11">
        <f t="shared" si="0"/>
        <v>-725</v>
      </c>
      <c r="I12" s="11"/>
      <c r="J12" s="24"/>
    </row>
    <row r="13" spans="1:10" x14ac:dyDescent="0.25">
      <c r="A13" s="10">
        <v>10</v>
      </c>
      <c r="B13" s="11"/>
      <c r="C13" s="11"/>
      <c r="D13" s="11">
        <v>24497</v>
      </c>
      <c r="E13" s="11">
        <v>24000</v>
      </c>
      <c r="F13" s="11">
        <v>5394</v>
      </c>
      <c r="G13" s="11">
        <v>5129</v>
      </c>
      <c r="H13" s="11">
        <f t="shared" si="0"/>
        <v>-762</v>
      </c>
      <c r="I13" s="11"/>
      <c r="J13" s="24"/>
    </row>
    <row r="14" spans="1:10" x14ac:dyDescent="0.25">
      <c r="A14" s="10">
        <v>11</v>
      </c>
      <c r="B14" s="11"/>
      <c r="C14" s="11"/>
      <c r="D14" s="11">
        <v>24479</v>
      </c>
      <c r="E14" s="11">
        <v>24000</v>
      </c>
      <c r="F14" s="11">
        <v>5664</v>
      </c>
      <c r="G14" s="11">
        <v>5129</v>
      </c>
      <c r="H14" s="11">
        <f t="shared" si="0"/>
        <v>-1014</v>
      </c>
      <c r="I14" s="11"/>
      <c r="J14" s="24"/>
    </row>
    <row r="15" spans="1:10" x14ac:dyDescent="0.25">
      <c r="A15" s="10">
        <v>12</v>
      </c>
      <c r="B15" s="11"/>
      <c r="C15" s="11"/>
      <c r="D15" s="11">
        <v>24472</v>
      </c>
      <c r="E15" s="11">
        <v>24000</v>
      </c>
      <c r="F15" s="11">
        <v>5778</v>
      </c>
      <c r="G15" s="11">
        <v>5129</v>
      </c>
      <c r="H15" s="11">
        <f t="shared" si="0"/>
        <v>-1121</v>
      </c>
      <c r="I15" s="11"/>
      <c r="J15" s="24"/>
    </row>
    <row r="16" spans="1:10" x14ac:dyDescent="0.25">
      <c r="A16" s="10">
        <v>13</v>
      </c>
      <c r="B16" s="11"/>
      <c r="C16" s="11"/>
      <c r="D16" s="11">
        <v>24489</v>
      </c>
      <c r="E16" s="11">
        <v>24000</v>
      </c>
      <c r="F16" s="11">
        <v>5753</v>
      </c>
      <c r="G16" s="11">
        <v>5129</v>
      </c>
      <c r="H16" s="11">
        <f t="shared" si="0"/>
        <v>-1113</v>
      </c>
      <c r="I16" s="11"/>
      <c r="J16" s="24"/>
    </row>
    <row r="17" spans="1:10" x14ac:dyDescent="0.25">
      <c r="A17" s="10">
        <v>14</v>
      </c>
      <c r="B17" s="11"/>
      <c r="C17" s="11"/>
      <c r="D17" s="11">
        <v>24484</v>
      </c>
      <c r="E17" s="11">
        <v>23536</v>
      </c>
      <c r="F17" s="11">
        <v>5619</v>
      </c>
      <c r="G17" s="11">
        <v>5129</v>
      </c>
      <c r="H17" s="11">
        <f t="shared" si="0"/>
        <v>-1438</v>
      </c>
      <c r="I17" s="11"/>
      <c r="J17" s="24"/>
    </row>
    <row r="18" spans="1:10" x14ac:dyDescent="0.25">
      <c r="A18" s="10">
        <v>15</v>
      </c>
      <c r="B18" s="11">
        <v>1</v>
      </c>
      <c r="C18" s="11"/>
      <c r="D18" s="11">
        <v>23245</v>
      </c>
      <c r="E18" s="11">
        <v>20840</v>
      </c>
      <c r="F18" s="11">
        <v>5765</v>
      </c>
      <c r="G18" s="11">
        <v>5129</v>
      </c>
      <c r="H18" s="11">
        <f t="shared" si="0"/>
        <v>-3042</v>
      </c>
      <c r="I18" s="11"/>
      <c r="J18" s="24"/>
    </row>
    <row r="19" spans="1:10" x14ac:dyDescent="0.25">
      <c r="A19" s="10">
        <v>16</v>
      </c>
      <c r="B19" s="11">
        <v>16</v>
      </c>
      <c r="C19" s="11"/>
      <c r="D19" s="11">
        <v>22510</v>
      </c>
      <c r="E19" s="11">
        <v>23536</v>
      </c>
      <c r="F19" s="11">
        <v>5860</v>
      </c>
      <c r="G19" s="11">
        <v>5129</v>
      </c>
      <c r="H19" s="11">
        <f t="shared" si="0"/>
        <v>279</v>
      </c>
      <c r="I19" s="11"/>
      <c r="J19" s="24"/>
    </row>
    <row r="20" spans="1:10" x14ac:dyDescent="0.25">
      <c r="A20" s="10">
        <v>17</v>
      </c>
      <c r="B20" s="11"/>
      <c r="C20" s="11"/>
      <c r="D20" s="11">
        <v>22450</v>
      </c>
      <c r="E20" s="11">
        <v>24000</v>
      </c>
      <c r="F20" s="11">
        <v>5860</v>
      </c>
      <c r="G20" s="11">
        <v>5129</v>
      </c>
      <c r="H20" s="11">
        <f t="shared" si="0"/>
        <v>819</v>
      </c>
      <c r="I20" s="11"/>
      <c r="J20" s="24"/>
    </row>
    <row r="21" spans="1:10" x14ac:dyDescent="0.25">
      <c r="A21" s="10">
        <v>18</v>
      </c>
      <c r="B21" s="129"/>
      <c r="C21" s="11"/>
      <c r="D21" s="11">
        <v>20394</v>
      </c>
      <c r="E21" s="11">
        <v>24000</v>
      </c>
      <c r="F21" s="11">
        <v>4806</v>
      </c>
      <c r="G21" s="11">
        <v>5129</v>
      </c>
      <c r="H21" s="11">
        <f t="shared" si="0"/>
        <v>3929</v>
      </c>
      <c r="I21" s="11"/>
      <c r="J21" s="24"/>
    </row>
    <row r="22" spans="1:10" x14ac:dyDescent="0.25">
      <c r="A22" s="10">
        <v>19</v>
      </c>
      <c r="B22" s="11"/>
      <c r="C22" s="11"/>
      <c r="D22" s="11">
        <v>7631</v>
      </c>
      <c r="E22" s="11">
        <v>11501</v>
      </c>
      <c r="F22" s="11">
        <v>1872</v>
      </c>
      <c r="G22" s="11">
        <v>5129</v>
      </c>
      <c r="H22" s="11">
        <f t="shared" si="0"/>
        <v>7127</v>
      </c>
      <c r="I22" s="11"/>
      <c r="J22" s="24"/>
    </row>
    <row r="23" spans="1:10" x14ac:dyDescent="0.25">
      <c r="A23" s="10">
        <v>20</v>
      </c>
      <c r="B23" s="11"/>
      <c r="C23" s="11"/>
      <c r="D23" s="11">
        <v>22472</v>
      </c>
      <c r="E23" s="11">
        <v>21941</v>
      </c>
      <c r="F23" s="11">
        <v>2985</v>
      </c>
      <c r="G23" s="11">
        <v>3143</v>
      </c>
      <c r="H23" s="11">
        <f t="shared" si="0"/>
        <v>-373</v>
      </c>
      <c r="I23" s="11"/>
      <c r="J23" s="24"/>
    </row>
    <row r="24" spans="1:10" x14ac:dyDescent="0.25">
      <c r="A24" s="10">
        <v>21</v>
      </c>
      <c r="B24" s="11"/>
      <c r="C24" s="11"/>
      <c r="D24" s="11">
        <v>24856</v>
      </c>
      <c r="E24" s="11">
        <v>21802</v>
      </c>
      <c r="F24" s="11">
        <v>2309</v>
      </c>
      <c r="G24" s="11">
        <v>3554</v>
      </c>
      <c r="H24" s="11">
        <f t="shared" si="0"/>
        <v>-1809</v>
      </c>
      <c r="I24" s="11"/>
      <c r="J24" s="24"/>
    </row>
    <row r="25" spans="1:10" x14ac:dyDescent="0.25">
      <c r="A25" s="10">
        <v>22</v>
      </c>
      <c r="B25" s="11"/>
      <c r="C25" s="11"/>
      <c r="D25" s="11">
        <v>23975</v>
      </c>
      <c r="E25" s="11">
        <v>21405</v>
      </c>
      <c r="H25" s="11">
        <f t="shared" si="0"/>
        <v>-2570</v>
      </c>
      <c r="I25" s="11"/>
      <c r="J25" s="24"/>
    </row>
    <row r="26" spans="1:10" x14ac:dyDescent="0.25">
      <c r="A26" s="10">
        <v>23</v>
      </c>
      <c r="B26" s="11"/>
      <c r="C26" s="11"/>
      <c r="D26" s="11">
        <v>23607</v>
      </c>
      <c r="E26" s="11">
        <v>24000</v>
      </c>
      <c r="H26" s="11">
        <f t="shared" si="0"/>
        <v>393</v>
      </c>
      <c r="I26" s="11"/>
      <c r="J26" s="24"/>
    </row>
    <row r="27" spans="1:10" x14ac:dyDescent="0.25">
      <c r="A27" s="10">
        <v>24</v>
      </c>
      <c r="B27" s="11"/>
      <c r="C27" s="11"/>
      <c r="D27" s="11">
        <v>24468</v>
      </c>
      <c r="E27" s="11">
        <v>24000</v>
      </c>
      <c r="H27" s="11">
        <f t="shared" si="0"/>
        <v>-468</v>
      </c>
      <c r="I27" s="11"/>
      <c r="J27" s="24"/>
    </row>
    <row r="28" spans="1:10" x14ac:dyDescent="0.25">
      <c r="A28" s="10">
        <v>25</v>
      </c>
      <c r="B28" s="11"/>
      <c r="C28" s="11"/>
      <c r="D28" s="11">
        <v>24250</v>
      </c>
      <c r="E28" s="11">
        <v>24000</v>
      </c>
      <c r="H28" s="11">
        <f t="shared" si="0"/>
        <v>-250</v>
      </c>
      <c r="I28" s="11"/>
      <c r="J28" s="24"/>
    </row>
    <row r="29" spans="1:10" x14ac:dyDescent="0.25">
      <c r="A29" s="10">
        <v>26</v>
      </c>
      <c r="B29" s="11"/>
      <c r="C29" s="11"/>
      <c r="D29" s="11">
        <v>24501</v>
      </c>
      <c r="E29" s="11">
        <v>24000</v>
      </c>
      <c r="H29" s="11">
        <f t="shared" si="0"/>
        <v>-501</v>
      </c>
      <c r="I29" s="11"/>
      <c r="J29" s="24"/>
    </row>
    <row r="30" spans="1:10" x14ac:dyDescent="0.25">
      <c r="A30" s="10">
        <v>27</v>
      </c>
      <c r="B30" s="11"/>
      <c r="C30" s="11"/>
      <c r="D30" s="11">
        <v>24455</v>
      </c>
      <c r="E30" s="11">
        <v>24000</v>
      </c>
      <c r="H30" s="11">
        <f t="shared" si="0"/>
        <v>-455</v>
      </c>
      <c r="I30" s="11"/>
      <c r="J30" s="24"/>
    </row>
    <row r="31" spans="1:10" x14ac:dyDescent="0.25">
      <c r="A31" s="10">
        <v>28</v>
      </c>
      <c r="B31" s="11"/>
      <c r="C31" s="11"/>
      <c r="D31" s="11">
        <v>24465</v>
      </c>
      <c r="E31" s="11">
        <v>23189</v>
      </c>
      <c r="H31" s="11">
        <f t="shared" si="0"/>
        <v>-1276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H32" s="11">
        <f t="shared" si="0"/>
        <v>0</v>
      </c>
      <c r="I32" s="11"/>
      <c r="J32" s="24"/>
    </row>
    <row r="33" spans="1:10" x14ac:dyDescent="0.25">
      <c r="A33" s="10">
        <v>30</v>
      </c>
      <c r="B33" s="11"/>
      <c r="C33" s="11"/>
      <c r="D33" s="11"/>
      <c r="E33" s="11"/>
      <c r="H33" s="11">
        <f t="shared" si="0"/>
        <v>0</v>
      </c>
      <c r="I33" s="11"/>
      <c r="J33" s="24"/>
    </row>
    <row r="34" spans="1:10" x14ac:dyDescent="0.25">
      <c r="A34" s="10">
        <v>31</v>
      </c>
      <c r="B34" s="11"/>
      <c r="C34" s="11"/>
      <c r="D34" s="11"/>
      <c r="E34" s="11"/>
      <c r="H34" s="11">
        <f t="shared" si="0"/>
        <v>0</v>
      </c>
      <c r="I34" s="11"/>
      <c r="J34" s="24"/>
    </row>
    <row r="35" spans="1:10" x14ac:dyDescent="0.25">
      <c r="A35" s="10"/>
      <c r="B35" s="11">
        <f t="shared" ref="B35:H35" si="1">SUM(B4:B34)</f>
        <v>17</v>
      </c>
      <c r="C35" s="11">
        <f t="shared" si="1"/>
        <v>0</v>
      </c>
      <c r="D35" s="11">
        <f t="shared" si="1"/>
        <v>656884</v>
      </c>
      <c r="E35" s="11">
        <f t="shared" si="1"/>
        <v>646743</v>
      </c>
      <c r="F35" s="11">
        <f t="shared" si="1"/>
        <v>107180</v>
      </c>
      <c r="G35" s="11">
        <f t="shared" si="1"/>
        <v>104083</v>
      </c>
      <c r="H35" s="11">
        <f t="shared" si="1"/>
        <v>-13255</v>
      </c>
      <c r="I35" s="11"/>
      <c r="J35" s="11"/>
    </row>
    <row r="36" spans="1:10" x14ac:dyDescent="0.25">
      <c r="C36" s="25">
        <f>+C35-B35</f>
        <v>-17</v>
      </c>
      <c r="E36" s="25"/>
      <c r="G36" s="25">
        <f>+G35-F35+E35-D35</f>
        <v>-13238</v>
      </c>
      <c r="H36" s="25"/>
    </row>
    <row r="37" spans="1:10" x14ac:dyDescent="0.25">
      <c r="C37" s="331">
        <f>+summary!H5</f>
        <v>2.93</v>
      </c>
      <c r="E37" s="331"/>
      <c r="G37" s="104">
        <f>+C37</f>
        <v>2.93</v>
      </c>
      <c r="H37" s="331"/>
    </row>
    <row r="38" spans="1:10" x14ac:dyDescent="0.25">
      <c r="C38" s="138">
        <f>+C37*C36</f>
        <v>-49.81</v>
      </c>
      <c r="E38" s="138"/>
      <c r="G38" s="136">
        <f>+G37*G36</f>
        <v>-38787.340000000004</v>
      </c>
      <c r="H38" s="138">
        <f>+G38+C38</f>
        <v>-38837.15</v>
      </c>
    </row>
    <row r="39" spans="1:10" x14ac:dyDescent="0.25">
      <c r="A39" s="57">
        <v>37072</v>
      </c>
      <c r="B39" s="2" t="s">
        <v>46</v>
      </c>
      <c r="C39" s="378">
        <v>-1023092.89</v>
      </c>
      <c r="D39" s="341"/>
      <c r="E39" s="378"/>
      <c r="G39" s="378">
        <v>-436546.2</v>
      </c>
      <c r="H39" s="340">
        <f>+G39+C39</f>
        <v>-1459639.09</v>
      </c>
      <c r="I39" s="51"/>
      <c r="J39" s="24"/>
    </row>
    <row r="40" spans="1:10" x14ac:dyDescent="0.25">
      <c r="A40" s="57">
        <v>37100</v>
      </c>
      <c r="B40" s="2" t="s">
        <v>46</v>
      </c>
      <c r="C40" s="332">
        <f>+C39+C38</f>
        <v>-1023142.7000000001</v>
      </c>
      <c r="D40" s="260"/>
      <c r="E40" s="332"/>
      <c r="G40" s="332">
        <f>+G39+G38</f>
        <v>-475333.54000000004</v>
      </c>
      <c r="H40" s="332">
        <f>+H39+H38</f>
        <v>-1498476.24</v>
      </c>
      <c r="I40" s="131"/>
      <c r="J40" s="131"/>
    </row>
    <row r="41" spans="1:10" x14ac:dyDescent="0.25">
      <c r="C41" s="352"/>
      <c r="D41" s="251"/>
      <c r="E41" s="251"/>
      <c r="H41" s="251"/>
      <c r="I41" s="251"/>
      <c r="J41" s="31"/>
    </row>
    <row r="42" spans="1:10" x14ac:dyDescent="0.25">
      <c r="C42" s="251"/>
      <c r="D42" s="251"/>
      <c r="E42" s="251"/>
      <c r="H42" s="273"/>
      <c r="I42" s="251"/>
    </row>
    <row r="43" spans="1:10" x14ac:dyDescent="0.25">
      <c r="C43" s="251"/>
      <c r="D43" s="251"/>
      <c r="E43" s="12" t="s">
        <v>115</v>
      </c>
      <c r="H43" s="273"/>
      <c r="I43" s="251"/>
    </row>
    <row r="44" spans="1:10" x14ac:dyDescent="0.25">
      <c r="C44" s="251"/>
      <c r="D44" s="251"/>
      <c r="E44" s="12">
        <v>22864</v>
      </c>
      <c r="H44" s="385">
        <v>-58339.66</v>
      </c>
      <c r="I44" s="255" t="s">
        <v>49</v>
      </c>
    </row>
    <row r="45" spans="1:10" x14ac:dyDescent="0.25">
      <c r="C45" s="251"/>
      <c r="D45" s="251"/>
      <c r="E45" s="12">
        <v>20379</v>
      </c>
      <c r="H45" s="385">
        <v>-51695.87</v>
      </c>
      <c r="I45" s="255" t="s">
        <v>126</v>
      </c>
    </row>
    <row r="46" spans="1:10" x14ac:dyDescent="0.25">
      <c r="C46" s="251"/>
      <c r="D46" s="251"/>
      <c r="E46" s="12">
        <v>21459</v>
      </c>
      <c r="H46" s="385">
        <v>10570.56</v>
      </c>
      <c r="I46" s="251"/>
    </row>
    <row r="47" spans="1:10" x14ac:dyDescent="0.25">
      <c r="C47" s="251"/>
      <c r="D47" s="251"/>
      <c r="E47" s="12">
        <v>26357</v>
      </c>
      <c r="H47" s="385">
        <v>44144.84</v>
      </c>
      <c r="I47" s="255" t="s">
        <v>127</v>
      </c>
    </row>
    <row r="48" spans="1:10" x14ac:dyDescent="0.25">
      <c r="C48" s="251"/>
      <c r="D48" s="251"/>
      <c r="E48" s="12">
        <v>21544</v>
      </c>
      <c r="H48" s="385">
        <v>61340.160000000003</v>
      </c>
      <c r="I48" s="255" t="s">
        <v>128</v>
      </c>
    </row>
    <row r="49" spans="3:9" x14ac:dyDescent="0.25">
      <c r="C49" s="251"/>
      <c r="D49" s="251"/>
      <c r="E49" s="12">
        <v>24532</v>
      </c>
      <c r="H49" s="384">
        <v>-671608.5</v>
      </c>
      <c r="I49" s="255" t="s">
        <v>125</v>
      </c>
    </row>
    <row r="50" spans="3:9" x14ac:dyDescent="0.25">
      <c r="C50" s="251"/>
      <c r="D50" s="251"/>
      <c r="H50" s="353">
        <f>SUM(H40:H49)</f>
        <v>-2164064.71</v>
      </c>
      <c r="I50" s="251"/>
    </row>
    <row r="51" spans="3:9" x14ac:dyDescent="0.25">
      <c r="C51" s="251"/>
      <c r="D51" s="251"/>
      <c r="H51" s="251"/>
      <c r="I51" s="251"/>
    </row>
    <row r="52" spans="3:9" x14ac:dyDescent="0.25">
      <c r="E52" s="2" t="s">
        <v>144</v>
      </c>
      <c r="H52" s="138">
        <f>+Duke!C63</f>
        <v>2406294.2800000003</v>
      </c>
    </row>
    <row r="54" spans="3:9" x14ac:dyDescent="0.25">
      <c r="H54" s="104">
        <f>+H52+H50</f>
        <v>242229.5700000003</v>
      </c>
    </row>
    <row r="60" spans="3:9" x14ac:dyDescent="0.25">
      <c r="H60" s="259"/>
    </row>
    <row r="61" spans="3:9" x14ac:dyDescent="0.25">
      <c r="H61" s="259"/>
    </row>
    <row r="62" spans="3:9" x14ac:dyDescent="0.25">
      <c r="H62" s="259"/>
    </row>
    <row r="63" spans="3:9" x14ac:dyDescent="0.25">
      <c r="H63" s="371"/>
    </row>
    <row r="64" spans="3:9" x14ac:dyDescent="0.25">
      <c r="F64" s="371"/>
    </row>
    <row r="65" spans="6:6" x14ac:dyDescent="0.25">
      <c r="F65" s="371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1" workbookViewId="3">
      <selection activeCell="F36" sqref="F36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/>
      <c r="C8" s="11"/>
      <c r="D8" s="11"/>
      <c r="E8" s="11"/>
      <c r="F8" s="11">
        <v>1110</v>
      </c>
      <c r="G8" s="11">
        <v>1243</v>
      </c>
      <c r="H8" s="11">
        <v>1812</v>
      </c>
      <c r="I8" s="11">
        <v>1669</v>
      </c>
      <c r="J8" s="25">
        <f>+C8-B8+E8-D8+G8-F8+I8-H8</f>
        <v>-10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/>
      <c r="C9" s="11"/>
      <c r="D9" s="11"/>
      <c r="E9" s="11"/>
      <c r="F9" s="11">
        <v>1157</v>
      </c>
      <c r="G9" s="11">
        <v>1277</v>
      </c>
      <c r="H9" s="11">
        <v>1766</v>
      </c>
      <c r="I9" s="11">
        <v>1699</v>
      </c>
      <c r="J9" s="25">
        <f t="shared" ref="J9:J38" si="0">+C9-B9+E9-D9+G9-F9+I9-H9</f>
        <v>53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/>
      <c r="C10" s="11"/>
      <c r="D10" s="11"/>
      <c r="E10" s="11"/>
      <c r="F10" s="11">
        <v>1153</v>
      </c>
      <c r="G10" s="11">
        <v>1277</v>
      </c>
      <c r="H10" s="11">
        <v>1747</v>
      </c>
      <c r="I10" s="11">
        <v>1699</v>
      </c>
      <c r="J10" s="25">
        <f t="shared" si="0"/>
        <v>76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/>
      <c r="C11" s="11"/>
      <c r="D11" s="11"/>
      <c r="E11" s="11"/>
      <c r="F11" s="11">
        <v>1126</v>
      </c>
      <c r="G11" s="11">
        <v>1277</v>
      </c>
      <c r="H11" s="11">
        <v>1721</v>
      </c>
      <c r="I11" s="11">
        <v>1699</v>
      </c>
      <c r="J11" s="25">
        <f t="shared" si="0"/>
        <v>129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/>
      <c r="C12" s="11"/>
      <c r="D12" s="11"/>
      <c r="E12" s="11"/>
      <c r="F12" s="11">
        <v>1126</v>
      </c>
      <c r="G12" s="11">
        <v>1277</v>
      </c>
      <c r="H12" s="11">
        <v>1704</v>
      </c>
      <c r="I12" s="11">
        <v>1699</v>
      </c>
      <c r="J12" s="25">
        <f t="shared" si="0"/>
        <v>146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/>
      <c r="C13" s="11"/>
      <c r="D13" s="11"/>
      <c r="E13" s="11"/>
      <c r="F13" s="11">
        <v>1125</v>
      </c>
      <c r="G13" s="11">
        <v>1277</v>
      </c>
      <c r="H13" s="11">
        <v>1686</v>
      </c>
      <c r="I13" s="11">
        <v>1699</v>
      </c>
      <c r="J13" s="25">
        <f t="shared" si="0"/>
        <v>165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/>
      <c r="C14" s="11"/>
      <c r="D14" s="11"/>
      <c r="E14" s="11"/>
      <c r="F14" s="11">
        <v>1115</v>
      </c>
      <c r="G14" s="11">
        <v>1277</v>
      </c>
      <c r="H14" s="11">
        <v>1674</v>
      </c>
      <c r="I14" s="129">
        <v>1699</v>
      </c>
      <c r="J14" s="25">
        <f t="shared" si="0"/>
        <v>187</v>
      </c>
      <c r="K14" s="10"/>
      <c r="L14" s="11"/>
      <c r="M14" s="11"/>
      <c r="N14" s="11"/>
      <c r="O14" s="11"/>
      <c r="P14" s="11"/>
      <c r="Q14" s="11"/>
      <c r="R14" s="123"/>
      <c r="S14" s="290"/>
      <c r="T14" s="11"/>
      <c r="U14" s="11"/>
      <c r="V14" s="11"/>
      <c r="W14" s="11"/>
      <c r="X14" s="25"/>
    </row>
    <row r="15" spans="1:24" x14ac:dyDescent="0.25">
      <c r="A15" s="10">
        <v>8</v>
      </c>
      <c r="B15" s="11"/>
      <c r="C15" s="11"/>
      <c r="D15" s="11"/>
      <c r="E15" s="11"/>
      <c r="F15" s="11">
        <v>1105</v>
      </c>
      <c r="G15" s="11">
        <v>1277</v>
      </c>
      <c r="H15" s="11">
        <v>1660</v>
      </c>
      <c r="I15" s="11">
        <v>1699</v>
      </c>
      <c r="J15" s="25">
        <f t="shared" si="0"/>
        <v>211</v>
      </c>
      <c r="K15" s="10"/>
      <c r="L15" s="11"/>
      <c r="M15" s="11"/>
      <c r="N15" s="11"/>
      <c r="O15" s="11"/>
      <c r="P15" s="11"/>
      <c r="Q15" s="11"/>
      <c r="R15" s="123"/>
      <c r="S15" s="290"/>
      <c r="T15" s="11"/>
      <c r="U15" s="11"/>
      <c r="V15" s="11"/>
      <c r="W15" s="11"/>
      <c r="X15" s="25"/>
    </row>
    <row r="16" spans="1:24" x14ac:dyDescent="0.25">
      <c r="A16" s="10">
        <v>9</v>
      </c>
      <c r="B16" s="11"/>
      <c r="C16" s="11"/>
      <c r="D16" s="11"/>
      <c r="E16" s="11"/>
      <c r="F16" s="11">
        <v>1078</v>
      </c>
      <c r="G16" s="11">
        <v>1277</v>
      </c>
      <c r="H16" s="11">
        <v>1649</v>
      </c>
      <c r="I16" s="11">
        <v>1699</v>
      </c>
      <c r="J16" s="25">
        <f t="shared" si="0"/>
        <v>249</v>
      </c>
      <c r="K16" s="10"/>
      <c r="L16" s="11"/>
      <c r="M16" s="11"/>
      <c r="N16" s="11"/>
      <c r="O16" s="11"/>
      <c r="P16" s="11"/>
      <c r="Q16" s="11"/>
      <c r="R16" s="123"/>
      <c r="S16" s="290"/>
      <c r="T16" s="11"/>
      <c r="U16" s="11"/>
      <c r="V16" s="11"/>
      <c r="W16" s="11"/>
      <c r="X16" s="25"/>
    </row>
    <row r="17" spans="1:24" x14ac:dyDescent="0.25">
      <c r="A17" s="10">
        <v>10</v>
      </c>
      <c r="B17" s="11"/>
      <c r="C17" s="11"/>
      <c r="D17" s="11"/>
      <c r="E17" s="11"/>
      <c r="F17" s="11">
        <v>1079</v>
      </c>
      <c r="G17" s="11">
        <v>1277</v>
      </c>
      <c r="H17" s="11">
        <v>1620</v>
      </c>
      <c r="I17" s="11">
        <v>1699</v>
      </c>
      <c r="J17" s="25">
        <f t="shared" si="0"/>
        <v>277</v>
      </c>
      <c r="K17" s="10"/>
      <c r="L17" s="11"/>
      <c r="M17" s="11"/>
      <c r="N17" s="11"/>
      <c r="O17" s="11"/>
      <c r="P17" s="11"/>
      <c r="Q17" s="11"/>
      <c r="R17" s="123"/>
      <c r="S17" s="290"/>
      <c r="T17" s="11"/>
      <c r="U17" s="11"/>
      <c r="V17" s="11"/>
      <c r="W17" s="11"/>
      <c r="X17" s="25"/>
    </row>
    <row r="18" spans="1:24" x14ac:dyDescent="0.25">
      <c r="A18" s="10">
        <v>11</v>
      </c>
      <c r="B18" s="11"/>
      <c r="C18" s="11"/>
      <c r="D18" s="11"/>
      <c r="E18" s="11"/>
      <c r="F18" s="11">
        <v>998</v>
      </c>
      <c r="G18" s="11">
        <v>1277</v>
      </c>
      <c r="H18" s="11">
        <v>1605</v>
      </c>
      <c r="I18" s="11">
        <v>1699</v>
      </c>
      <c r="J18" s="25">
        <f t="shared" si="0"/>
        <v>373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/>
      <c r="C19" s="11"/>
      <c r="D19" s="11"/>
      <c r="E19" s="11"/>
      <c r="F19" s="11">
        <v>1134</v>
      </c>
      <c r="G19" s="11">
        <v>639</v>
      </c>
      <c r="H19" s="11">
        <v>851</v>
      </c>
      <c r="I19" s="11">
        <v>1699</v>
      </c>
      <c r="J19" s="25">
        <f t="shared" si="0"/>
        <v>353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/>
      <c r="C20" s="11"/>
      <c r="D20" s="11"/>
      <c r="E20" s="11"/>
      <c r="F20" s="11">
        <v>1072</v>
      </c>
      <c r="G20" s="11">
        <v>1277</v>
      </c>
      <c r="H20" s="11">
        <v>1554</v>
      </c>
      <c r="I20" s="11">
        <v>1699</v>
      </c>
      <c r="J20" s="25">
        <f t="shared" si="0"/>
        <v>350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/>
      <c r="C21" s="11"/>
      <c r="D21" s="11"/>
      <c r="E21" s="11"/>
      <c r="F21" s="11">
        <v>1064</v>
      </c>
      <c r="G21" s="11">
        <v>1277</v>
      </c>
      <c r="H21" s="11">
        <v>1078</v>
      </c>
      <c r="I21" s="11">
        <v>1699</v>
      </c>
      <c r="J21" s="25">
        <f t="shared" si="0"/>
        <v>834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/>
      <c r="C22" s="11"/>
      <c r="D22" s="11"/>
      <c r="E22" s="11"/>
      <c r="F22" s="11">
        <v>1054</v>
      </c>
      <c r="G22" s="11">
        <v>1277</v>
      </c>
      <c r="H22" s="11">
        <v>1027</v>
      </c>
      <c r="I22" s="11">
        <v>1699</v>
      </c>
      <c r="J22" s="25">
        <f t="shared" si="0"/>
        <v>895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/>
      <c r="C23" s="11"/>
      <c r="D23" s="11"/>
      <c r="E23" s="11"/>
      <c r="F23" s="11">
        <v>912</v>
      </c>
      <c r="G23" s="11">
        <v>1277</v>
      </c>
      <c r="H23" s="11">
        <v>1</v>
      </c>
      <c r="I23" s="11">
        <v>1699</v>
      </c>
      <c r="J23" s="25">
        <f t="shared" si="0"/>
        <v>2063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/>
      <c r="C24" s="11"/>
      <c r="D24" s="11"/>
      <c r="E24" s="11"/>
      <c r="F24" s="11">
        <v>1057</v>
      </c>
      <c r="G24" s="11">
        <v>1277</v>
      </c>
      <c r="H24" s="11">
        <v>1594</v>
      </c>
      <c r="I24" s="11">
        <v>1699</v>
      </c>
      <c r="J24" s="25">
        <f t="shared" si="0"/>
        <v>325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/>
      <c r="C25" s="11"/>
      <c r="D25" s="11"/>
      <c r="E25" s="11"/>
      <c r="F25" s="11">
        <v>1095</v>
      </c>
      <c r="G25" s="11">
        <v>1277</v>
      </c>
      <c r="H25" s="11">
        <v>1567</v>
      </c>
      <c r="I25" s="11">
        <v>1699</v>
      </c>
      <c r="J25" s="25">
        <f t="shared" si="0"/>
        <v>314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/>
      <c r="C26" s="11"/>
      <c r="D26" s="11"/>
      <c r="E26" s="11"/>
      <c r="F26" s="11">
        <v>1049</v>
      </c>
      <c r="G26" s="11">
        <v>1277</v>
      </c>
      <c r="H26" s="11">
        <v>1550</v>
      </c>
      <c r="I26" s="11">
        <v>1699</v>
      </c>
      <c r="J26" s="25">
        <f t="shared" si="0"/>
        <v>377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/>
      <c r="C27" s="11"/>
      <c r="D27" s="11"/>
      <c r="E27" s="11"/>
      <c r="F27" s="11">
        <v>1010</v>
      </c>
      <c r="G27" s="11">
        <v>1277</v>
      </c>
      <c r="H27" s="11">
        <v>1539</v>
      </c>
      <c r="I27" s="11">
        <v>1699</v>
      </c>
      <c r="J27" s="25">
        <f t="shared" si="0"/>
        <v>427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>
        <v>984</v>
      </c>
      <c r="G28" s="11">
        <v>1277</v>
      </c>
      <c r="H28" s="11">
        <v>1526</v>
      </c>
      <c r="I28" s="11">
        <v>1699</v>
      </c>
      <c r="J28" s="25">
        <f t="shared" si="0"/>
        <v>466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>
        <v>998</v>
      </c>
      <c r="G29" s="11">
        <v>1277</v>
      </c>
      <c r="H29" s="11">
        <v>1511</v>
      </c>
      <c r="I29" s="11">
        <v>1699</v>
      </c>
      <c r="J29" s="25">
        <f t="shared" si="0"/>
        <v>467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>
        <v>960</v>
      </c>
      <c r="G30" s="11">
        <v>1277</v>
      </c>
      <c r="H30" s="11">
        <v>1566</v>
      </c>
      <c r="I30" s="11">
        <v>1699</v>
      </c>
      <c r="J30" s="25">
        <f t="shared" si="0"/>
        <v>450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>
        <v>1013</v>
      </c>
      <c r="G31" s="11">
        <v>1277</v>
      </c>
      <c r="H31" s="11">
        <v>1531</v>
      </c>
      <c r="I31" s="11">
        <v>1699</v>
      </c>
      <c r="J31" s="25">
        <f t="shared" si="0"/>
        <v>432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>
        <v>856</v>
      </c>
      <c r="G32" s="11">
        <v>1277</v>
      </c>
      <c r="H32" s="11">
        <v>1511</v>
      </c>
      <c r="I32" s="11">
        <v>1699</v>
      </c>
      <c r="J32" s="25">
        <f t="shared" si="0"/>
        <v>609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>
        <v>345</v>
      </c>
      <c r="G33" s="11">
        <v>1277</v>
      </c>
      <c r="H33" s="11">
        <v>1487</v>
      </c>
      <c r="I33" s="11">
        <v>1699</v>
      </c>
      <c r="J33" s="25">
        <f t="shared" si="0"/>
        <v>1144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>
        <v>8001</v>
      </c>
      <c r="C34" s="11"/>
      <c r="D34" s="11"/>
      <c r="E34" s="11"/>
      <c r="F34" s="11">
        <v>1019</v>
      </c>
      <c r="G34" s="11">
        <v>1277</v>
      </c>
      <c r="H34" s="11">
        <v>1471</v>
      </c>
      <c r="I34" s="11">
        <v>1699</v>
      </c>
      <c r="J34" s="25">
        <f t="shared" si="0"/>
        <v>-7515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>
        <v>6811</v>
      </c>
      <c r="C35" s="11">
        <v>6281</v>
      </c>
      <c r="D35" s="11"/>
      <c r="E35" s="11"/>
      <c r="F35" s="11">
        <v>1092</v>
      </c>
      <c r="G35" s="11">
        <v>1277</v>
      </c>
      <c r="H35" s="11">
        <v>1467</v>
      </c>
      <c r="I35" s="11">
        <v>1699</v>
      </c>
      <c r="J35" s="25">
        <f t="shared" si="0"/>
        <v>-113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14812</v>
      </c>
      <c r="C39" s="11">
        <f t="shared" si="1"/>
        <v>6281</v>
      </c>
      <c r="D39" s="11">
        <f t="shared" si="1"/>
        <v>0</v>
      </c>
      <c r="E39" s="11">
        <f t="shared" si="1"/>
        <v>0</v>
      </c>
      <c r="F39" s="11">
        <f t="shared" si="1"/>
        <v>28886</v>
      </c>
      <c r="G39" s="11">
        <f t="shared" si="1"/>
        <v>35084</v>
      </c>
      <c r="H39" s="11">
        <f t="shared" si="1"/>
        <v>41475</v>
      </c>
      <c r="I39" s="11">
        <f t="shared" si="1"/>
        <v>47542</v>
      </c>
      <c r="J39" s="25">
        <f t="shared" si="1"/>
        <v>3734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1">
        <f>+summary!H4</f>
        <v>2.76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10305.839999999998</v>
      </c>
      <c r="L41"/>
      <c r="R41" s="138"/>
      <c r="X41" s="138"/>
    </row>
    <row r="42" spans="1:24" x14ac:dyDescent="0.25">
      <c r="A42" s="57">
        <v>37072</v>
      </c>
      <c r="C42" s="15"/>
      <c r="J42" s="375">
        <v>348785.29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37100</v>
      </c>
      <c r="C43" s="48"/>
      <c r="J43" s="138">
        <f>+J42+J41</f>
        <v>359091.13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L46"/>
    </row>
    <row r="47" spans="1:24" x14ac:dyDescent="0.25">
      <c r="L47"/>
    </row>
    <row r="48" spans="1:24" x14ac:dyDescent="0.25">
      <c r="L48"/>
    </row>
    <row r="49" spans="12:12" x14ac:dyDescent="0.25">
      <c r="L49"/>
    </row>
    <row r="50" spans="12:12" x14ac:dyDescent="0.25">
      <c r="L50"/>
    </row>
    <row r="51" spans="12:12" x14ac:dyDescent="0.25">
      <c r="L51"/>
    </row>
    <row r="52" spans="12:12" x14ac:dyDescent="0.25">
      <c r="L52"/>
    </row>
    <row r="53" spans="12:12" x14ac:dyDescent="0.25">
      <c r="L53"/>
    </row>
    <row r="54" spans="12:12" x14ac:dyDescent="0.25">
      <c r="L54"/>
    </row>
    <row r="55" spans="12:12" x14ac:dyDescent="0.25">
      <c r="L55"/>
    </row>
    <row r="56" spans="12:12" x14ac:dyDescent="0.25">
      <c r="L56"/>
    </row>
    <row r="57" spans="12:12" x14ac:dyDescent="0.25">
      <c r="L57"/>
    </row>
    <row r="58" spans="12:12" x14ac:dyDescent="0.25">
      <c r="L58"/>
    </row>
    <row r="59" spans="12:12" x14ac:dyDescent="0.25">
      <c r="L59"/>
    </row>
    <row r="60" spans="12:12" x14ac:dyDescent="0.25">
      <c r="L60"/>
    </row>
    <row r="61" spans="12:12" x14ac:dyDescent="0.25">
      <c r="L61"/>
    </row>
    <row r="62" spans="12:12" x14ac:dyDescent="0.25">
      <c r="L62"/>
    </row>
    <row r="63" spans="12:12" x14ac:dyDescent="0.25">
      <c r="L63"/>
    </row>
    <row r="64" spans="12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43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24" workbookViewId="3">
      <selection activeCell="D36" sqref="D36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12299</v>
      </c>
      <c r="C8" s="11">
        <v>10388</v>
      </c>
      <c r="D8" s="11">
        <v>-556</v>
      </c>
      <c r="E8" s="11"/>
      <c r="F8" s="25">
        <f>+C8-B8+E8-D8</f>
        <v>-1355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11706</v>
      </c>
      <c r="C9" s="11">
        <v>10732</v>
      </c>
      <c r="D9" s="11">
        <v>-472</v>
      </c>
      <c r="E9" s="11"/>
      <c r="F9" s="25">
        <f t="shared" ref="F9:F38" si="0">+C9-B9+E9-D9</f>
        <v>-502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11910</v>
      </c>
      <c r="C10" s="11">
        <v>10841</v>
      </c>
      <c r="D10" s="11">
        <v>-486</v>
      </c>
      <c r="E10" s="11"/>
      <c r="F10" s="25">
        <f t="shared" si="0"/>
        <v>-583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10885</v>
      </c>
      <c r="C11" s="11">
        <v>10906</v>
      </c>
      <c r="D11" s="11">
        <v>-523</v>
      </c>
      <c r="E11" s="11"/>
      <c r="F11" s="25">
        <f t="shared" si="0"/>
        <v>544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11935</v>
      </c>
      <c r="C12" s="11">
        <v>10912</v>
      </c>
      <c r="D12" s="11">
        <v>-570</v>
      </c>
      <c r="E12" s="11"/>
      <c r="F12" s="25">
        <f t="shared" si="0"/>
        <v>-453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11321</v>
      </c>
      <c r="C13" s="11">
        <v>10866</v>
      </c>
      <c r="D13" s="11">
        <v>-565</v>
      </c>
      <c r="E13" s="11"/>
      <c r="F13" s="25">
        <f t="shared" si="0"/>
        <v>110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10936</v>
      </c>
      <c r="C14" s="11">
        <v>10786</v>
      </c>
      <c r="D14" s="11">
        <v>-410</v>
      </c>
      <c r="E14" s="11"/>
      <c r="F14" s="25">
        <f t="shared" si="0"/>
        <v>260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10657</v>
      </c>
      <c r="C15" s="11">
        <v>10786</v>
      </c>
      <c r="D15" s="11"/>
      <c r="E15" s="11"/>
      <c r="F15" s="25">
        <f t="shared" si="0"/>
        <v>129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17477</v>
      </c>
      <c r="C16" s="11">
        <v>10786</v>
      </c>
      <c r="D16" s="11"/>
      <c r="E16" s="11"/>
      <c r="F16" s="25">
        <f t="shared" si="0"/>
        <v>-6691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12031</v>
      </c>
      <c r="C17" s="11">
        <v>10913</v>
      </c>
      <c r="D17" s="11">
        <v>-2</v>
      </c>
      <c r="E17" s="11"/>
      <c r="F17" s="25">
        <f t="shared" si="0"/>
        <v>-1116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>
        <v>11355</v>
      </c>
      <c r="C18" s="11">
        <v>10913</v>
      </c>
      <c r="D18" s="11"/>
      <c r="E18" s="11"/>
      <c r="F18" s="25">
        <f t="shared" si="0"/>
        <v>-442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>
        <v>10931</v>
      </c>
      <c r="C19" s="11">
        <v>10912</v>
      </c>
      <c r="D19" s="11"/>
      <c r="E19" s="11"/>
      <c r="F19" s="25">
        <f t="shared" si="0"/>
        <v>-19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>
        <v>11220</v>
      </c>
      <c r="C20" s="11">
        <v>10903</v>
      </c>
      <c r="D20" s="11"/>
      <c r="E20" s="11"/>
      <c r="F20" s="25">
        <f t="shared" si="0"/>
        <v>-317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>
        <v>11376</v>
      </c>
      <c r="C21" s="11">
        <v>10730</v>
      </c>
      <c r="D21" s="11"/>
      <c r="E21" s="11"/>
      <c r="F21" s="25">
        <f t="shared" si="0"/>
        <v>-646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>
        <v>11218</v>
      </c>
      <c r="C22" s="11">
        <v>10362</v>
      </c>
      <c r="D22" s="11"/>
      <c r="E22" s="11"/>
      <c r="F22" s="25">
        <f t="shared" si="0"/>
        <v>-856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>
        <v>11351</v>
      </c>
      <c r="C23" s="11">
        <v>10741</v>
      </c>
      <c r="D23" s="11"/>
      <c r="E23" s="11"/>
      <c r="F23" s="25">
        <f t="shared" si="0"/>
        <v>-610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>
        <v>11364</v>
      </c>
      <c r="C24" s="11">
        <v>10719</v>
      </c>
      <c r="D24" s="11"/>
      <c r="E24" s="11"/>
      <c r="F24" s="25">
        <f t="shared" si="0"/>
        <v>-645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>
        <v>11172</v>
      </c>
      <c r="C25" s="11">
        <v>10692</v>
      </c>
      <c r="D25" s="11">
        <v>-45</v>
      </c>
      <c r="E25" s="11"/>
      <c r="F25" s="25">
        <f t="shared" si="0"/>
        <v>-435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>
        <v>12613</v>
      </c>
      <c r="C26" s="11">
        <v>10726</v>
      </c>
      <c r="D26" s="11"/>
      <c r="E26" s="11"/>
      <c r="F26" s="25">
        <f t="shared" si="0"/>
        <v>-1887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>
        <v>12175</v>
      </c>
      <c r="C27" s="11">
        <v>10684</v>
      </c>
      <c r="D27" s="11"/>
      <c r="E27" s="11"/>
      <c r="F27" s="25">
        <f t="shared" si="0"/>
        <v>-1491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>
        <v>11773</v>
      </c>
      <c r="C28" s="11">
        <v>10655</v>
      </c>
      <c r="D28" s="11"/>
      <c r="E28" s="11"/>
      <c r="F28" s="25">
        <f t="shared" si="0"/>
        <v>-1118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>
        <v>11421</v>
      </c>
      <c r="C29" s="11">
        <v>10608</v>
      </c>
      <c r="D29" s="11"/>
      <c r="E29" s="11"/>
      <c r="F29" s="25">
        <f t="shared" si="0"/>
        <v>-813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>
        <v>11770</v>
      </c>
      <c r="C30" s="11">
        <v>10773</v>
      </c>
      <c r="D30" s="11"/>
      <c r="E30" s="11"/>
      <c r="F30" s="25">
        <f t="shared" si="0"/>
        <v>-997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>
        <v>11612</v>
      </c>
      <c r="C31" s="11">
        <v>10891</v>
      </c>
      <c r="D31" s="11"/>
      <c r="E31" s="11"/>
      <c r="F31" s="25">
        <f t="shared" si="0"/>
        <v>-721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>
        <v>11667</v>
      </c>
      <c r="C32" s="11">
        <v>10893</v>
      </c>
      <c r="D32" s="11">
        <v>-742</v>
      </c>
      <c r="E32" s="11"/>
      <c r="F32" s="25">
        <f t="shared" si="0"/>
        <v>-32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>
        <v>6886</v>
      </c>
      <c r="C33" s="11">
        <v>5456</v>
      </c>
      <c r="D33" s="11">
        <v>-767</v>
      </c>
      <c r="E33" s="11"/>
      <c r="F33" s="25">
        <f t="shared" si="0"/>
        <v>-663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>
        <v>11142</v>
      </c>
      <c r="C34" s="11">
        <v>10774</v>
      </c>
      <c r="D34" s="11">
        <v>-3</v>
      </c>
      <c r="E34" s="11"/>
      <c r="F34" s="25">
        <f t="shared" si="0"/>
        <v>-365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>
        <v>13472</v>
      </c>
      <c r="C35" s="11">
        <v>10744</v>
      </c>
      <c r="D35" s="11">
        <v>-1452</v>
      </c>
      <c r="E35" s="11"/>
      <c r="F35" s="25">
        <f t="shared" si="0"/>
        <v>-1276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325675</v>
      </c>
      <c r="C39" s="11">
        <f>SUM(C8:C38)</f>
        <v>296092</v>
      </c>
      <c r="D39" s="11">
        <f>SUM(D8:D38)</f>
        <v>-6593</v>
      </c>
      <c r="E39" s="11">
        <f>SUM(E8:E38)</f>
        <v>0</v>
      </c>
      <c r="F39" s="11">
        <f>SUM(F8:F38)</f>
        <v>-22990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2.76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-63452.399999999994</v>
      </c>
      <c r="J41" s="138"/>
      <c r="N41" s="138"/>
      <c r="R41" s="138"/>
      <c r="V41" s="138"/>
      <c r="Z41" s="138"/>
    </row>
    <row r="42" spans="1:26" x14ac:dyDescent="0.25">
      <c r="A42" s="57">
        <v>37072</v>
      </c>
      <c r="C42" s="15"/>
      <c r="D42" s="15"/>
      <c r="E42" s="15"/>
      <c r="F42" s="379">
        <v>542879.87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37100</v>
      </c>
      <c r="C43" s="48"/>
      <c r="D43" s="48"/>
      <c r="E43" s="48"/>
      <c r="F43" s="110">
        <f>+F42+F41</f>
        <v>479427.47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workbookViewId="2">
      <selection activeCell="B10" sqref="B10"/>
    </sheetView>
    <sheetView topLeftCell="A4" workbookViewId="3">
      <selection activeCell="A22" sqref="A22"/>
    </sheetView>
  </sheetViews>
  <sheetFormatPr defaultRowHeight="13.2" x14ac:dyDescent="0.25"/>
  <cols>
    <col min="1" max="1" width="16.44140625" style="296" customWidth="1"/>
    <col min="2" max="2" width="9.88671875" style="253" bestFit="1" customWidth="1"/>
    <col min="3" max="3" width="9.33203125" style="297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9" t="s">
        <v>146</v>
      </c>
      <c r="G2" s="415" t="s">
        <v>81</v>
      </c>
      <c r="H2" s="391"/>
    </row>
    <row r="3" spans="1:32" ht="15" customHeight="1" x14ac:dyDescent="0.25">
      <c r="G3" s="301" t="s">
        <v>30</v>
      </c>
      <c r="H3" s="390">
        <f>+'[1]0701'!$K$39</f>
        <v>2.4300000000000002</v>
      </c>
      <c r="I3" s="430">
        <f ca="1">NOW()</f>
        <v>37102.542669097224</v>
      </c>
    </row>
    <row r="4" spans="1:32" ht="15" customHeight="1" x14ac:dyDescent="0.25">
      <c r="A4" s="34" t="s">
        <v>157</v>
      </c>
      <c r="C4" s="34" t="s">
        <v>5</v>
      </c>
      <c r="G4" s="302" t="s">
        <v>31</v>
      </c>
      <c r="H4" s="303">
        <f>+'[1]0701'!$M$39</f>
        <v>2.76</v>
      </c>
    </row>
    <row r="5" spans="1:32" ht="15" customHeight="1" x14ac:dyDescent="0.25">
      <c r="G5" s="301" t="s">
        <v>120</v>
      </c>
      <c r="H5" s="390">
        <f>+'[1]0701'!$H$39</f>
        <v>2.93</v>
      </c>
    </row>
    <row r="6" spans="1:32" ht="15" customHeight="1" x14ac:dyDescent="0.25"/>
    <row r="7" spans="1:32" ht="15" customHeight="1" x14ac:dyDescent="0.25">
      <c r="A7" s="359" t="s">
        <v>92</v>
      </c>
      <c r="B7" s="360" t="s">
        <v>17</v>
      </c>
      <c r="C7" s="361" t="s">
        <v>0</v>
      </c>
      <c r="D7" s="5" t="s">
        <v>158</v>
      </c>
      <c r="E7" s="359" t="s">
        <v>93</v>
      </c>
      <c r="F7" s="362" t="s">
        <v>104</v>
      </c>
      <c r="G7" s="359" t="s">
        <v>101</v>
      </c>
    </row>
    <row r="8" spans="1:32" ht="15" customHeight="1" x14ac:dyDescent="0.25">
      <c r="A8" s="392" t="s">
        <v>29</v>
      </c>
      <c r="B8" s="393">
        <f>+C8*$H$3</f>
        <v>761078.43</v>
      </c>
      <c r="C8" s="286">
        <f>+williams!J40</f>
        <v>313201</v>
      </c>
      <c r="D8" s="416">
        <f>+williams!A40</f>
        <v>37100</v>
      </c>
      <c r="E8" s="206" t="s">
        <v>87</v>
      </c>
      <c r="F8" s="206" t="s">
        <v>156</v>
      </c>
      <c r="G8" s="32" t="s">
        <v>159</v>
      </c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392" t="s">
        <v>90</v>
      </c>
      <c r="B9" s="393">
        <f>+NNG!$D$24</f>
        <v>684263.62</v>
      </c>
      <c r="C9" s="286">
        <f>+B9/$H$4</f>
        <v>247921.60144927539</v>
      </c>
      <c r="D9" s="416">
        <f>+NNG!A24</f>
        <v>37100</v>
      </c>
      <c r="E9" s="206" t="s">
        <v>88</v>
      </c>
      <c r="F9" s="206" t="s">
        <v>103</v>
      </c>
      <c r="G9" s="32" t="s">
        <v>153</v>
      </c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54" t="s">
        <v>24</v>
      </c>
      <c r="B10" s="395">
        <f>+'Red C'!$F$43</f>
        <v>674468.93</v>
      </c>
      <c r="C10" s="396">
        <f>+B10/$H$3</f>
        <v>277559.23045267491</v>
      </c>
      <c r="D10" s="416">
        <f>+'Red C'!B43</f>
        <v>37100</v>
      </c>
      <c r="E10" s="32" t="s">
        <v>88</v>
      </c>
      <c r="F10" s="32" t="s">
        <v>118</v>
      </c>
      <c r="G10" s="32" t="s">
        <v>163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54" t="s">
        <v>83</v>
      </c>
      <c r="B11" s="393">
        <f>+Conoco!$F$41</f>
        <v>597282.1100000001</v>
      </c>
      <c r="C11" s="286">
        <f>+B11/$H$4</f>
        <v>216406.56159420294</v>
      </c>
      <c r="D11" s="416">
        <f>+Conoco!A41</f>
        <v>37100</v>
      </c>
      <c r="E11" s="32" t="s">
        <v>88</v>
      </c>
      <c r="F11" s="32" t="s">
        <v>116</v>
      </c>
      <c r="G11" s="32" t="s">
        <v>152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54" t="s">
        <v>3</v>
      </c>
      <c r="B12" s="393">
        <f>+'Amoco Abo'!$F$43</f>
        <v>479427.47</v>
      </c>
      <c r="C12" s="286">
        <f>+B12/$H$4</f>
        <v>173705.60507246378</v>
      </c>
      <c r="D12" s="417">
        <f>+'Amoco Abo'!A43</f>
        <v>37100</v>
      </c>
      <c r="E12" s="32" t="s">
        <v>88</v>
      </c>
      <c r="F12" s="32" t="s">
        <v>118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4" t="s">
        <v>91</v>
      </c>
      <c r="B13" s="393">
        <f>+C13*$H$4</f>
        <v>431920.68</v>
      </c>
      <c r="C13" s="286">
        <f>+NGPL!F38</f>
        <v>156493</v>
      </c>
      <c r="D13" s="417">
        <f>+NGPL!A38</f>
        <v>37100</v>
      </c>
      <c r="E13" s="32" t="s">
        <v>87</v>
      </c>
      <c r="F13" s="32" t="s">
        <v>118</v>
      </c>
      <c r="G13" s="32" t="s">
        <v>167</v>
      </c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392" t="s">
        <v>33</v>
      </c>
      <c r="B14" s="393">
        <f>+C14*$H$4</f>
        <v>423858.72</v>
      </c>
      <c r="C14" s="208">
        <f>+SoCal!F40</f>
        <v>153572</v>
      </c>
      <c r="D14" s="416">
        <f>+SoCal!A40</f>
        <v>37100</v>
      </c>
      <c r="E14" s="206" t="s">
        <v>87</v>
      </c>
      <c r="F14" s="206" t="s">
        <v>105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4" t="s">
        <v>110</v>
      </c>
      <c r="B15" s="393">
        <f>+KN_Westar!F41</f>
        <v>422288.61</v>
      </c>
      <c r="C15" s="286">
        <f>+B15/$H$4</f>
        <v>153003.11956521741</v>
      </c>
      <c r="D15" s="417">
        <f>+KN_Westar!A41</f>
        <v>37100</v>
      </c>
      <c r="E15" s="32" t="s">
        <v>88</v>
      </c>
      <c r="F15" s="32" t="s">
        <v>103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5" customHeight="1" x14ac:dyDescent="0.25">
      <c r="A16" s="254" t="s">
        <v>97</v>
      </c>
      <c r="B16" s="393">
        <f>+C16*$H$4</f>
        <v>374024.16</v>
      </c>
      <c r="C16" s="286">
        <f>+Mojave!D40</f>
        <v>135516</v>
      </c>
      <c r="D16" s="417">
        <f>+Mojave!A40</f>
        <v>37100</v>
      </c>
      <c r="E16" s="32" t="s">
        <v>87</v>
      </c>
      <c r="F16" s="32" t="s">
        <v>103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5" customHeight="1" x14ac:dyDescent="0.25">
      <c r="A17" s="254" t="s">
        <v>2</v>
      </c>
      <c r="B17" s="393">
        <f>+mewborne!$J$43</f>
        <v>359091.13</v>
      </c>
      <c r="C17" s="286">
        <f>+B17/$H$4</f>
        <v>130105.48188405798</v>
      </c>
      <c r="D17" s="417">
        <f>+mewborne!A43</f>
        <v>37100</v>
      </c>
      <c r="E17" s="32" t="s">
        <v>88</v>
      </c>
      <c r="F17" s="32" t="s">
        <v>102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5" customHeight="1" x14ac:dyDescent="0.25">
      <c r="A18" s="254" t="s">
        <v>113</v>
      </c>
      <c r="B18" s="393">
        <f>+CIG!D43</f>
        <v>326755</v>
      </c>
      <c r="C18" s="286">
        <f>+B18/$H$4</f>
        <v>118389.4927536232</v>
      </c>
      <c r="D18" s="417">
        <f>+CIG!A43</f>
        <v>37100</v>
      </c>
      <c r="E18" s="32" t="s">
        <v>88</v>
      </c>
      <c r="F18" s="32" t="s">
        <v>116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5" customHeight="1" x14ac:dyDescent="0.25">
      <c r="A19" s="254" t="s">
        <v>85</v>
      </c>
      <c r="B19" s="393">
        <f>+PNM!$D$23</f>
        <v>306021.19000000006</v>
      </c>
      <c r="C19" s="286">
        <f>+B19/$H$4</f>
        <v>110877.24275362321</v>
      </c>
      <c r="D19" s="417">
        <f>+PNM!A23</f>
        <v>37100</v>
      </c>
      <c r="E19" s="32" t="s">
        <v>88</v>
      </c>
      <c r="F19" s="32" t="s">
        <v>118</v>
      </c>
      <c r="G19" s="32" t="s">
        <v>162</v>
      </c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5" customHeight="1" x14ac:dyDescent="0.25">
      <c r="A20" s="254" t="s">
        <v>149</v>
      </c>
      <c r="B20" s="395">
        <f>+C20*$H$4</f>
        <v>254626.55999999997</v>
      </c>
      <c r="C20" s="396">
        <f>+PEPL!D41</f>
        <v>92256</v>
      </c>
      <c r="D20" s="417">
        <f>+PEPL!A41</f>
        <v>37100</v>
      </c>
      <c r="E20" s="32" t="s">
        <v>87</v>
      </c>
      <c r="F20" s="32" t="s">
        <v>103</v>
      </c>
      <c r="G20" s="32" t="s">
        <v>148</v>
      </c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5" customHeight="1" x14ac:dyDescent="0.25">
      <c r="A21" s="254" t="s">
        <v>131</v>
      </c>
      <c r="B21" s="393">
        <f>+DEFS!H54</f>
        <v>242229.5700000003</v>
      </c>
      <c r="C21" s="208">
        <f>+B21/$H$4</f>
        <v>87764.33695652186</v>
      </c>
      <c r="D21" s="417">
        <f>+DEFS!A40</f>
        <v>37100</v>
      </c>
      <c r="E21" s="32" t="s">
        <v>88</v>
      </c>
      <c r="F21" s="32" t="s">
        <v>103</v>
      </c>
      <c r="G21" s="32" t="s">
        <v>121</v>
      </c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5" customHeight="1" x14ac:dyDescent="0.25">
      <c r="A22" s="254" t="s">
        <v>169</v>
      </c>
      <c r="B22" s="393">
        <f>+PGETX!$H$39</f>
        <v>240507.56000000003</v>
      </c>
      <c r="C22" s="286">
        <f>+B22/$H$4</f>
        <v>87140.420289855087</v>
      </c>
      <c r="D22" s="417">
        <f>+PGETX!E39</f>
        <v>37100</v>
      </c>
      <c r="E22" s="32" t="s">
        <v>88</v>
      </c>
      <c r="F22" s="32" t="s">
        <v>105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5" customHeight="1" x14ac:dyDescent="0.25">
      <c r="A23" s="254" t="s">
        <v>34</v>
      </c>
      <c r="B23" s="393">
        <f>+'El Paso'!C38*summary!H4+'El Paso'!E38*summary!H3</f>
        <v>172838.33999999997</v>
      </c>
      <c r="C23" s="286">
        <f>+'El Paso'!H38</f>
        <v>62399</v>
      </c>
      <c r="D23" s="417">
        <f>+'El Paso'!A38</f>
        <v>37100</v>
      </c>
      <c r="E23" s="32" t="s">
        <v>87</v>
      </c>
      <c r="F23" s="32" t="s">
        <v>103</v>
      </c>
      <c r="G23" s="32" t="s">
        <v>122</v>
      </c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5" customHeight="1" x14ac:dyDescent="0.25">
      <c r="A24" s="254" t="s">
        <v>106</v>
      </c>
      <c r="B24" s="393">
        <f>+EOG!J41</f>
        <v>162079.67000000001</v>
      </c>
      <c r="C24" s="286">
        <f>+B24/$H$4</f>
        <v>58724.518115942039</v>
      </c>
      <c r="D24" s="416">
        <f>+EOG!A41</f>
        <v>37100</v>
      </c>
      <c r="E24" s="32" t="s">
        <v>88</v>
      </c>
      <c r="F24" s="32" t="s">
        <v>105</v>
      </c>
      <c r="G24" s="32" t="s">
        <v>161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5" customHeight="1" x14ac:dyDescent="0.25">
      <c r="A25" s="254" t="s">
        <v>136</v>
      </c>
      <c r="B25" s="393">
        <f>+SidR!D41</f>
        <v>134393.24000000002</v>
      </c>
      <c r="C25" s="286">
        <f>+B25/$H$4</f>
        <v>48693.202898550735</v>
      </c>
      <c r="D25" s="417">
        <f>+SidR!A41</f>
        <v>37100</v>
      </c>
      <c r="E25" s="32" t="s">
        <v>88</v>
      </c>
      <c r="F25" s="32" t="s">
        <v>105</v>
      </c>
      <c r="G25" s="32" t="s">
        <v>165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5" customHeight="1" x14ac:dyDescent="0.25">
      <c r="A26" s="254" t="s">
        <v>32</v>
      </c>
      <c r="B26" s="393">
        <f>+C26*$H$4</f>
        <v>115006.43999999999</v>
      </c>
      <c r="C26" s="286">
        <f>+Lonestar!F42</f>
        <v>41669</v>
      </c>
      <c r="D26" s="416">
        <f>+Lonestar!B42</f>
        <v>37100</v>
      </c>
      <c r="E26" s="32" t="s">
        <v>87</v>
      </c>
      <c r="F26" s="32" t="s">
        <v>105</v>
      </c>
      <c r="G26" s="32" t="s">
        <v>166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5" customHeight="1" x14ac:dyDescent="0.25">
      <c r="A27" s="254" t="s">
        <v>6</v>
      </c>
      <c r="B27" s="393">
        <f>+C27*$H$3</f>
        <v>109622.16</v>
      </c>
      <c r="C27" s="286">
        <f>+Amoco!D40</f>
        <v>45112</v>
      </c>
      <c r="D27" s="417">
        <f>+Amoco!A40</f>
        <v>37100</v>
      </c>
      <c r="E27" s="32" t="s">
        <v>87</v>
      </c>
      <c r="F27" s="32" t="s">
        <v>118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5" customHeight="1" x14ac:dyDescent="0.25">
      <c r="A28" s="254" t="s">
        <v>7</v>
      </c>
      <c r="B28" s="393">
        <f>+C28*$H$4</f>
        <v>108824.04</v>
      </c>
      <c r="C28" s="208">
        <f>+Oasis!D40</f>
        <v>39429</v>
      </c>
      <c r="D28" s="417">
        <f>+Oasis!B40</f>
        <v>37100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5" customHeight="1" x14ac:dyDescent="0.25">
      <c r="A29" s="254" t="s">
        <v>117</v>
      </c>
      <c r="B29" s="393">
        <f>+C29*$H$4</f>
        <v>56778.719999999994</v>
      </c>
      <c r="C29" s="208">
        <f>+'PG&amp;E'!D40</f>
        <v>20572</v>
      </c>
      <c r="D29" s="417">
        <f>+'PG&amp;E'!A40</f>
        <v>37100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5" customHeight="1" x14ac:dyDescent="0.25">
      <c r="A30" s="392" t="s">
        <v>132</v>
      </c>
      <c r="B30" s="393">
        <f>+Calpine!D41</f>
        <v>46638.669999999925</v>
      </c>
      <c r="C30" s="208">
        <f>+B30/$H$4</f>
        <v>16898.068840579683</v>
      </c>
      <c r="D30" s="416">
        <f>+Calpine!A41</f>
        <v>37100</v>
      </c>
      <c r="E30" s="206" t="s">
        <v>88</v>
      </c>
      <c r="F30" s="206" t="s">
        <v>102</v>
      </c>
      <c r="G30" s="400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5" customHeight="1" x14ac:dyDescent="0.25">
      <c r="A31" s="254" t="s">
        <v>74</v>
      </c>
      <c r="B31" s="395">
        <f>+transcol!$D$43</f>
        <v>29280.329999999998</v>
      </c>
      <c r="C31" s="396">
        <f>+B31/$H$4</f>
        <v>10608.815217391304</v>
      </c>
      <c r="D31" s="417">
        <f>+transcol!A43</f>
        <v>37100</v>
      </c>
      <c r="E31" s="32" t="s">
        <v>88</v>
      </c>
      <c r="F31" s="32" t="s">
        <v>118</v>
      </c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5" customHeight="1" x14ac:dyDescent="0.25">
      <c r="A32" s="254" t="s">
        <v>1</v>
      </c>
      <c r="B32" s="397">
        <f>+C32*$H$3</f>
        <v>8794.17</v>
      </c>
      <c r="C32" s="398">
        <f>+NW!$F$41</f>
        <v>3619</v>
      </c>
      <c r="D32" s="416">
        <f>+NW!B41</f>
        <v>37100</v>
      </c>
      <c r="E32" s="32" t="s">
        <v>87</v>
      </c>
      <c r="F32" s="32" t="s">
        <v>118</v>
      </c>
      <c r="G32" s="400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8" customHeight="1" x14ac:dyDescent="0.25">
      <c r="A33" s="32" t="s">
        <v>99</v>
      </c>
      <c r="B33" s="47">
        <f>SUM(B8:B32)</f>
        <v>7522099.5200000005</v>
      </c>
      <c r="C33" s="69">
        <f>SUM(C8:C32)</f>
        <v>2801635.6978439796</v>
      </c>
      <c r="D33" s="205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5" customHeight="1" x14ac:dyDescent="0.25">
      <c r="A34" s="32"/>
      <c r="B34" s="47"/>
      <c r="C34" s="69"/>
      <c r="D34" s="205"/>
      <c r="E34" s="32"/>
      <c r="F34" s="399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59" t="s">
        <v>92</v>
      </c>
      <c r="B35" s="360" t="s">
        <v>17</v>
      </c>
      <c r="C35" s="361" t="s">
        <v>0</v>
      </c>
      <c r="D35" s="370" t="s">
        <v>158</v>
      </c>
      <c r="E35" s="359" t="s">
        <v>93</v>
      </c>
      <c r="F35" s="362" t="s">
        <v>104</v>
      </c>
      <c r="G35" s="359" t="s">
        <v>101</v>
      </c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92" t="s">
        <v>140</v>
      </c>
      <c r="B36" s="393">
        <f>+Citizens!D18</f>
        <v>-861937.3</v>
      </c>
      <c r="C36" s="208">
        <f>+B36/$H$4</f>
        <v>-312296.12318840582</v>
      </c>
      <c r="D36" s="416">
        <f>+Citizens!A18</f>
        <v>37100</v>
      </c>
      <c r="E36" s="206" t="s">
        <v>88</v>
      </c>
      <c r="F36" s="206" t="s">
        <v>102</v>
      </c>
      <c r="G36" s="400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5" customHeight="1" x14ac:dyDescent="0.25">
      <c r="A37" s="254" t="s">
        <v>138</v>
      </c>
      <c r="B37" s="393">
        <f>+'NS Steel'!D41</f>
        <v>-391141.36</v>
      </c>
      <c r="C37" s="208">
        <f>+B37/$H$4</f>
        <v>-141717.88405797101</v>
      </c>
      <c r="D37" s="417">
        <f>+'NS Steel'!A41</f>
        <v>37100</v>
      </c>
      <c r="E37" s="32" t="s">
        <v>88</v>
      </c>
      <c r="F37" s="32" t="s">
        <v>103</v>
      </c>
      <c r="G37" s="400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5" customHeight="1" x14ac:dyDescent="0.25">
      <c r="A38" s="254" t="s">
        <v>145</v>
      </c>
      <c r="B38" s="393">
        <f>+'Citizens-Griffith'!D41</f>
        <v>-351731.65</v>
      </c>
      <c r="C38" s="286">
        <f>+B38/$H$4</f>
        <v>-127439.00362318843</v>
      </c>
      <c r="D38" s="416">
        <f>+'Citizens-Griffith'!A41</f>
        <v>37100</v>
      </c>
      <c r="E38" s="32" t="s">
        <v>88</v>
      </c>
      <c r="F38" s="32" t="s">
        <v>102</v>
      </c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5" customHeight="1" x14ac:dyDescent="0.25">
      <c r="A39" s="392" t="s">
        <v>82</v>
      </c>
      <c r="B39" s="393">
        <f>+Agave!$D$24</f>
        <v>-103116.15</v>
      </c>
      <c r="C39" s="208">
        <f>+B39/$H$4</f>
        <v>-37360.92391304348</v>
      </c>
      <c r="D39" s="416">
        <f>+Agave!A24</f>
        <v>37100</v>
      </c>
      <c r="E39" s="206" t="s">
        <v>88</v>
      </c>
      <c r="F39" s="206" t="s">
        <v>105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5" customHeight="1" x14ac:dyDescent="0.25">
      <c r="A40" s="254" t="s">
        <v>134</v>
      </c>
      <c r="B40" s="393">
        <f>+EPFS!D41</f>
        <v>-101367.35</v>
      </c>
      <c r="C40" s="208">
        <f>+B40/$H$5</f>
        <v>-34596.365187713309</v>
      </c>
      <c r="D40" s="416">
        <f>+EPFS!A41</f>
        <v>37100</v>
      </c>
      <c r="E40" s="32" t="s">
        <v>88</v>
      </c>
      <c r="F40" s="32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5" customHeight="1" x14ac:dyDescent="0.25">
      <c r="A41" s="392" t="s">
        <v>98</v>
      </c>
      <c r="B41" s="393">
        <f>+burlington!D42</f>
        <v>-34260.57</v>
      </c>
      <c r="C41" s="286">
        <f>+B41/$H$3</f>
        <v>-14098.999999999998</v>
      </c>
      <c r="D41" s="416">
        <f>+burlington!A42</f>
        <v>37100</v>
      </c>
      <c r="E41" s="206" t="s">
        <v>88</v>
      </c>
      <c r="F41" s="32" t="s">
        <v>116</v>
      </c>
      <c r="G41" s="32" t="s">
        <v>155</v>
      </c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5" customHeight="1" x14ac:dyDescent="0.25">
      <c r="A42" s="254" t="s">
        <v>112</v>
      </c>
      <c r="B42" s="397">
        <f>+Continental!F43</f>
        <v>-14806.050000000001</v>
      </c>
      <c r="C42" s="398">
        <f>+B42/$H$4</f>
        <v>-5364.5108695652179</v>
      </c>
      <c r="D42" s="417">
        <f>+Continental!A43</f>
        <v>37100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93">
        <f>SUM(B36:B42)</f>
        <v>-1858360.4300000002</v>
      </c>
      <c r="C43" s="208">
        <f>SUM(C36:C42)</f>
        <v>-672873.81083988724</v>
      </c>
      <c r="D43" s="401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8" customHeight="1" x14ac:dyDescent="0.25">
      <c r="A44" s="32"/>
      <c r="B44" s="397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402">
        <f>+B43+B33</f>
        <v>5663739.0899999999</v>
      </c>
      <c r="C45" s="403">
        <f>+C43+C33</f>
        <v>2128761.8870040923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7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404"/>
      <c r="C60" s="405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406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7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7"/>
      <c r="D66" s="407"/>
      <c r="E66" s="408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7"/>
      <c r="D67" s="409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7"/>
      <c r="D68" s="409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7"/>
      <c r="D69" s="410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7"/>
      <c r="D70" s="411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412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412"/>
      <c r="C72" s="69"/>
      <c r="D72" s="406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413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413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412"/>
      <c r="C75" s="14"/>
      <c r="D75" s="406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412"/>
      <c r="C76" s="69"/>
      <c r="D76" s="406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412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404"/>
      <c r="C78" s="414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2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8" sqref="C8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2"/>
      <c r="D4" s="69"/>
    </row>
    <row r="5" spans="1:8" x14ac:dyDescent="0.2">
      <c r="B5" s="293" t="s">
        <v>20</v>
      </c>
      <c r="C5" s="293" t="s">
        <v>21</v>
      </c>
      <c r="D5" s="294" t="s">
        <v>51</v>
      </c>
    </row>
    <row r="6" spans="1:8" x14ac:dyDescent="0.2">
      <c r="A6" s="32">
        <v>1635</v>
      </c>
      <c r="B6" s="348">
        <v>-134328</v>
      </c>
      <c r="C6" s="80"/>
      <c r="D6" s="80">
        <f t="shared" ref="D6:D14" si="0">+C6-B6</f>
        <v>134328</v>
      </c>
    </row>
    <row r="7" spans="1:8" x14ac:dyDescent="0.2">
      <c r="A7" s="32">
        <v>3531</v>
      </c>
      <c r="B7" s="325">
        <v>-19947</v>
      </c>
      <c r="C7" s="80">
        <v>-6199</v>
      </c>
      <c r="D7" s="80">
        <f t="shared" si="0"/>
        <v>13748</v>
      </c>
    </row>
    <row r="8" spans="1:8" x14ac:dyDescent="0.2">
      <c r="A8" s="32">
        <v>60667</v>
      </c>
      <c r="B8" s="325">
        <v>-774624</v>
      </c>
      <c r="C8" s="80"/>
      <c r="D8" s="80">
        <f t="shared" si="0"/>
        <v>774624</v>
      </c>
      <c r="H8" s="255"/>
    </row>
    <row r="9" spans="1:8" x14ac:dyDescent="0.2">
      <c r="A9" s="32">
        <v>60749</v>
      </c>
      <c r="B9" s="325">
        <v>1299456</v>
      </c>
      <c r="C9" s="80">
        <v>131888</v>
      </c>
      <c r="D9" s="80">
        <f t="shared" si="0"/>
        <v>-1167568</v>
      </c>
      <c r="H9" s="255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5"/>
    </row>
    <row r="11" spans="1:8" x14ac:dyDescent="0.2">
      <c r="A11" s="32">
        <v>61334</v>
      </c>
      <c r="B11" s="325">
        <v>-126657</v>
      </c>
      <c r="C11" s="80"/>
      <c r="D11" s="80">
        <f t="shared" si="0"/>
        <v>126657</v>
      </c>
      <c r="H11" s="255"/>
    </row>
    <row r="12" spans="1:8" x14ac:dyDescent="0.2">
      <c r="A12" s="32">
        <v>62960</v>
      </c>
      <c r="B12" s="325"/>
      <c r="C12" s="80"/>
      <c r="D12" s="80">
        <f t="shared" si="0"/>
        <v>0</v>
      </c>
      <c r="H12" s="255"/>
    </row>
    <row r="13" spans="1:8" x14ac:dyDescent="0.2">
      <c r="A13" s="295"/>
      <c r="B13" s="80"/>
      <c r="C13" s="80"/>
      <c r="D13" s="80">
        <f t="shared" si="0"/>
        <v>0</v>
      </c>
      <c r="H13" s="255"/>
    </row>
    <row r="14" spans="1:8" x14ac:dyDescent="0.2">
      <c r="B14" s="80"/>
      <c r="C14" s="80"/>
      <c r="D14" s="80">
        <f t="shared" si="0"/>
        <v>0</v>
      </c>
      <c r="H14" s="255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-118211</v>
      </c>
    </row>
    <row r="19" spans="1:5" x14ac:dyDescent="0.2">
      <c r="A19" s="32" t="s">
        <v>84</v>
      </c>
      <c r="B19" s="69"/>
      <c r="C19" s="69"/>
      <c r="D19" s="73">
        <f>+summary!H4</f>
        <v>2.76</v>
      </c>
    </row>
    <row r="20" spans="1:5" x14ac:dyDescent="0.2">
      <c r="B20" s="69"/>
      <c r="C20" s="69"/>
      <c r="D20" s="75">
        <f>+D19*D18</f>
        <v>-326262.36</v>
      </c>
    </row>
    <row r="21" spans="1:5" x14ac:dyDescent="0.2">
      <c r="B21" s="69"/>
      <c r="C21" s="80"/>
      <c r="D21" s="299"/>
      <c r="E21" s="255"/>
    </row>
    <row r="22" spans="1:5" x14ac:dyDescent="0.2">
      <c r="A22" s="49">
        <v>36707</v>
      </c>
      <c r="B22" s="69"/>
      <c r="C22" s="80"/>
      <c r="D22" s="389">
        <v>1010525.98</v>
      </c>
      <c r="E22" s="255"/>
    </row>
    <row r="23" spans="1:5" x14ac:dyDescent="0.2">
      <c r="B23" s="69"/>
      <c r="C23" s="80"/>
      <c r="D23" s="299"/>
      <c r="E23" s="255"/>
    </row>
    <row r="24" spans="1:5" ht="10.8" thickBot="1" x14ac:dyDescent="0.25">
      <c r="A24" s="49">
        <v>37100</v>
      </c>
      <c r="B24" s="69"/>
      <c r="C24" s="69"/>
      <c r="D24" s="355">
        <f>+D22+D20</f>
        <v>684263.62</v>
      </c>
      <c r="E24" s="255"/>
    </row>
    <row r="25" spans="1:5" ht="10.8" thickTop="1" x14ac:dyDescent="0.2">
      <c r="B25" s="69"/>
      <c r="C25" s="69"/>
      <c r="D25" s="69"/>
      <c r="E25" s="25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13" sqref="B13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6"/>
      <c r="D3" s="88"/>
    </row>
    <row r="4" spans="1:13" x14ac:dyDescent="0.25">
      <c r="A4" s="87"/>
      <c r="B4" s="262" t="s">
        <v>20</v>
      </c>
      <c r="C4" s="262" t="s">
        <v>21</v>
      </c>
      <c r="D4" s="263" t="s">
        <v>51</v>
      </c>
    </row>
    <row r="5" spans="1:13" x14ac:dyDescent="0.25">
      <c r="A5" s="87">
        <v>9236</v>
      </c>
      <c r="B5" s="368">
        <v>-67379</v>
      </c>
      <c r="C5" s="90">
        <v>-46256</v>
      </c>
      <c r="D5" s="90">
        <f t="shared" ref="D5:D13" si="0">+C5-B5</f>
        <v>21123</v>
      </c>
      <c r="E5" s="69"/>
      <c r="F5" s="70"/>
    </row>
    <row r="6" spans="1:13" x14ac:dyDescent="0.25">
      <c r="A6" s="87">
        <v>9238</v>
      </c>
      <c r="B6" s="321"/>
      <c r="C6" s="90"/>
      <c r="D6" s="90">
        <f t="shared" si="0"/>
        <v>0</v>
      </c>
      <c r="E6" s="286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8">
        <v>-2580271</v>
      </c>
      <c r="C7" s="90">
        <v>-2766526</v>
      </c>
      <c r="D7" s="90">
        <f t="shared" si="0"/>
        <v>-186255</v>
      </c>
      <c r="E7" s="286"/>
      <c r="F7" s="70"/>
    </row>
    <row r="8" spans="1:13" x14ac:dyDescent="0.25">
      <c r="A8" s="87">
        <v>58710</v>
      </c>
      <c r="B8" s="368">
        <v>-29412</v>
      </c>
      <c r="C8" s="90">
        <v>-6358</v>
      </c>
      <c r="D8" s="90">
        <f t="shared" si="0"/>
        <v>23054</v>
      </c>
      <c r="E8" s="286"/>
      <c r="F8" s="70"/>
    </row>
    <row r="9" spans="1:13" x14ac:dyDescent="0.25">
      <c r="A9" s="87">
        <v>60921</v>
      </c>
      <c r="B9" s="321">
        <v>2310218</v>
      </c>
      <c r="C9" s="90">
        <v>2292027</v>
      </c>
      <c r="D9" s="90">
        <f t="shared" si="0"/>
        <v>-18191</v>
      </c>
      <c r="E9" s="286"/>
      <c r="F9" s="70"/>
    </row>
    <row r="10" spans="1:13" x14ac:dyDescent="0.25">
      <c r="A10" s="87">
        <v>78026</v>
      </c>
      <c r="B10" s="368">
        <f>8690+1053+1898+2176+2548+3000+2563+2563</f>
        <v>24491</v>
      </c>
      <c r="C10" s="90">
        <v>50311</v>
      </c>
      <c r="D10" s="90">
        <f t="shared" si="0"/>
        <v>25820</v>
      </c>
      <c r="E10" s="286"/>
      <c r="F10" s="284"/>
    </row>
    <row r="11" spans="1:13" x14ac:dyDescent="0.25">
      <c r="A11" s="87">
        <v>500084</v>
      </c>
      <c r="B11" s="368">
        <v>-13782</v>
      </c>
      <c r="C11" s="90">
        <v>-28000</v>
      </c>
      <c r="D11" s="90">
        <f t="shared" si="0"/>
        <v>-14218</v>
      </c>
      <c r="E11" s="287"/>
      <c r="F11" s="284"/>
    </row>
    <row r="12" spans="1:13" x14ac:dyDescent="0.25">
      <c r="A12" s="336">
        <v>500085</v>
      </c>
      <c r="B12" s="368">
        <v>-7993</v>
      </c>
      <c r="C12" s="90"/>
      <c r="D12" s="90">
        <f t="shared" si="0"/>
        <v>7993</v>
      </c>
      <c r="E12" s="286"/>
      <c r="F12" s="284"/>
    </row>
    <row r="13" spans="1:13" x14ac:dyDescent="0.25">
      <c r="A13" s="87">
        <v>500097</v>
      </c>
      <c r="B13" s="339">
        <v>-512</v>
      </c>
      <c r="C13" s="90"/>
      <c r="D13" s="90">
        <f t="shared" si="0"/>
        <v>512</v>
      </c>
      <c r="E13" s="286"/>
      <c r="F13" s="284"/>
    </row>
    <row r="14" spans="1:13" x14ac:dyDescent="0.25">
      <c r="A14" s="87"/>
      <c r="B14" s="90"/>
      <c r="C14" s="90"/>
      <c r="D14" s="90"/>
      <c r="E14" s="286"/>
      <c r="F14" s="284"/>
    </row>
    <row r="15" spans="1:13" x14ac:dyDescent="0.25">
      <c r="A15" s="87"/>
      <c r="B15" s="90"/>
      <c r="C15" s="90"/>
      <c r="D15" s="90"/>
      <c r="E15" s="286"/>
      <c r="F15" s="284"/>
    </row>
    <row r="16" spans="1:13" x14ac:dyDescent="0.25">
      <c r="A16" s="87"/>
      <c r="B16" s="88"/>
      <c r="C16" s="88"/>
      <c r="D16" s="94"/>
      <c r="E16" s="286"/>
      <c r="F16" s="284"/>
    </row>
    <row r="17" spans="1:7" x14ac:dyDescent="0.25">
      <c r="A17" s="87"/>
      <c r="B17" s="88"/>
      <c r="C17" s="88"/>
      <c r="D17" s="88">
        <f>SUM(D5:D16)</f>
        <v>-140162</v>
      </c>
      <c r="E17" s="286"/>
      <c r="F17" s="284"/>
    </row>
    <row r="18" spans="1:7" x14ac:dyDescent="0.25">
      <c r="A18" s="87" t="s">
        <v>84</v>
      </c>
      <c r="B18" s="88"/>
      <c r="C18" s="88"/>
      <c r="D18" s="95">
        <f>+summary!H4</f>
        <v>2.76</v>
      </c>
      <c r="E18" s="288"/>
      <c r="F18" s="284"/>
    </row>
    <row r="19" spans="1:7" x14ac:dyDescent="0.25">
      <c r="A19" s="87"/>
      <c r="B19" s="88"/>
      <c r="C19" s="88"/>
      <c r="D19" s="96">
        <f>+D18*D17</f>
        <v>-386847.12</v>
      </c>
      <c r="E19" s="209"/>
      <c r="F19" s="285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37072</v>
      </c>
      <c r="B21" s="88"/>
      <c r="C21" s="88"/>
      <c r="D21" s="382">
        <v>692868.31</v>
      </c>
      <c r="E21" s="209"/>
      <c r="F21" s="66"/>
    </row>
    <row r="22" spans="1:7" x14ac:dyDescent="0.25">
      <c r="A22" s="87"/>
      <c r="B22" s="88"/>
      <c r="C22" s="88"/>
      <c r="D22" s="324"/>
      <c r="E22" s="209"/>
      <c r="F22" s="66"/>
    </row>
    <row r="23" spans="1:7" ht="13.8" thickBot="1" x14ac:dyDescent="0.3">
      <c r="A23" s="99">
        <v>37100</v>
      </c>
      <c r="B23" s="88"/>
      <c r="C23" s="88"/>
      <c r="D23" s="337">
        <f>+D21+D19</f>
        <v>306021.19000000006</v>
      </c>
      <c r="E23" s="209"/>
      <c r="F23" s="66"/>
    </row>
    <row r="24" spans="1:7" ht="13.8" thickTop="1" x14ac:dyDescent="0.25">
      <c r="E24" s="289"/>
    </row>
    <row r="25" spans="1:7" x14ac:dyDescent="0.25">
      <c r="E25" s="289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7"/>
      <c r="E36" s="69"/>
      <c r="F36" s="70"/>
      <c r="G36" s="32"/>
    </row>
    <row r="37" spans="1:7" x14ac:dyDescent="0.25">
      <c r="B37" s="69"/>
      <c r="C37" s="69"/>
      <c r="D37" s="307"/>
      <c r="E37" s="69"/>
      <c r="F37" s="70"/>
      <c r="G37" s="32"/>
    </row>
    <row r="38" spans="1:7" x14ac:dyDescent="0.25">
      <c r="B38" s="69"/>
      <c r="C38" s="69"/>
      <c r="D38" s="307"/>
      <c r="E38" s="69"/>
      <c r="F38" s="70"/>
      <c r="G38" s="32"/>
    </row>
    <row r="39" spans="1:7" x14ac:dyDescent="0.25">
      <c r="B39" s="69"/>
      <c r="C39" s="69"/>
      <c r="D39" s="307"/>
      <c r="E39" s="69"/>
      <c r="F39" s="70"/>
      <c r="G39" s="32"/>
    </row>
    <row r="40" spans="1:7" x14ac:dyDescent="0.25">
      <c r="B40" s="69"/>
      <c r="C40" s="69"/>
      <c r="D40" s="307"/>
      <c r="E40" s="69"/>
      <c r="F40" s="70"/>
      <c r="G40" s="32"/>
    </row>
    <row r="41" spans="1:7" x14ac:dyDescent="0.25">
      <c r="B41" s="69"/>
      <c r="C41" s="69"/>
      <c r="D41" s="307"/>
      <c r="E41" s="69"/>
      <c r="F41" s="70"/>
      <c r="G41" s="32"/>
    </row>
    <row r="42" spans="1:7" x14ac:dyDescent="0.25">
      <c r="B42" s="69"/>
      <c r="C42" s="69"/>
      <c r="D42" s="307"/>
      <c r="E42" s="69"/>
      <c r="F42" s="70"/>
      <c r="G42" s="32"/>
    </row>
    <row r="43" spans="1:7" x14ac:dyDescent="0.25">
      <c r="B43" s="69"/>
      <c r="C43" s="69"/>
      <c r="D43" s="307"/>
      <c r="E43" s="69"/>
      <c r="F43" s="70"/>
      <c r="G43" s="32"/>
    </row>
    <row r="44" spans="1:7" x14ac:dyDescent="0.25">
      <c r="B44" s="69"/>
      <c r="C44" s="69"/>
      <c r="D44" s="308"/>
      <c r="E44" s="286"/>
      <c r="F44" s="284"/>
      <c r="G44" s="206"/>
    </row>
    <row r="45" spans="1:7" x14ac:dyDescent="0.25">
      <c r="B45" s="69"/>
      <c r="C45" s="69"/>
      <c r="D45" s="308"/>
      <c r="E45" s="286"/>
      <c r="F45" s="284"/>
      <c r="G45" s="206"/>
    </row>
    <row r="46" spans="1:7" x14ac:dyDescent="0.25">
      <c r="A46" s="32"/>
      <c r="B46" s="69"/>
      <c r="C46" s="69"/>
      <c r="D46" s="286"/>
      <c r="E46" s="286"/>
      <c r="F46" s="284"/>
      <c r="G46" s="206"/>
    </row>
    <row r="47" spans="1:7" x14ac:dyDescent="0.25">
      <c r="A47" s="32"/>
      <c r="B47" s="69"/>
      <c r="C47" s="69"/>
      <c r="D47" s="288"/>
      <c r="E47" s="288"/>
      <c r="F47" s="284"/>
      <c r="G47" s="206"/>
    </row>
    <row r="48" spans="1:7" x14ac:dyDescent="0.25">
      <c r="B48" s="69"/>
      <c r="C48" s="69"/>
      <c r="D48" s="286"/>
      <c r="E48" s="286"/>
      <c r="F48" s="285"/>
      <c r="G48" s="206"/>
    </row>
    <row r="49" spans="1:7" x14ac:dyDescent="0.25">
      <c r="B49" s="69"/>
      <c r="C49" s="69"/>
      <c r="D49" s="286"/>
      <c r="E49" s="286"/>
      <c r="F49" s="285"/>
      <c r="G49" s="206"/>
    </row>
    <row r="50" spans="1:7" x14ac:dyDescent="0.25">
      <c r="C50" s="304"/>
      <c r="D50" s="304"/>
      <c r="E50" s="304"/>
      <c r="F50" s="305"/>
      <c r="G50" s="306"/>
    </row>
    <row r="51" spans="1:7" x14ac:dyDescent="0.25">
      <c r="A51" s="32"/>
      <c r="C51" s="304"/>
      <c r="D51" s="304"/>
      <c r="E51" s="304"/>
      <c r="F51" s="305"/>
    </row>
    <row r="52" spans="1:7" x14ac:dyDescent="0.25">
      <c r="A52" s="32"/>
      <c r="C52" s="304"/>
      <c r="D52" s="304"/>
      <c r="E52" s="304"/>
      <c r="F52" s="305"/>
    </row>
    <row r="53" spans="1:7" x14ac:dyDescent="0.25">
      <c r="A53" s="32"/>
      <c r="C53" s="304"/>
      <c r="D53" s="304"/>
      <c r="E53" s="304"/>
      <c r="F53" s="305"/>
    </row>
    <row r="54" spans="1:7" x14ac:dyDescent="0.25">
      <c r="A54" s="32"/>
      <c r="C54" s="304"/>
      <c r="D54" s="304"/>
      <c r="E54" s="304"/>
      <c r="F54" s="305"/>
    </row>
    <row r="55" spans="1:7" x14ac:dyDescent="0.25">
      <c r="A55" s="32"/>
      <c r="C55" s="304"/>
      <c r="D55" s="304"/>
      <c r="E55" s="289"/>
      <c r="F55" s="289"/>
    </row>
    <row r="56" spans="1:7" x14ac:dyDescent="0.25">
      <c r="C56" s="304"/>
      <c r="D56" s="304"/>
      <c r="E56" s="289"/>
      <c r="F56" s="289"/>
    </row>
    <row r="57" spans="1:7" x14ac:dyDescent="0.25">
      <c r="C57" s="304"/>
      <c r="D57" s="304"/>
      <c r="E57" s="289"/>
      <c r="F57" s="289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4" workbookViewId="3">
      <selection activeCell="D28" sqref="D28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2" t="s">
        <v>20</v>
      </c>
      <c r="C2" s="262" t="s">
        <v>21</v>
      </c>
      <c r="D2" s="262" t="s">
        <v>20</v>
      </c>
      <c r="E2" s="262" t="s">
        <v>21</v>
      </c>
      <c r="F2" s="263" t="s">
        <v>51</v>
      </c>
    </row>
    <row r="3" spans="1:6" x14ac:dyDescent="0.25">
      <c r="A3">
        <v>1</v>
      </c>
      <c r="B3" s="90">
        <v>44045</v>
      </c>
      <c r="C3" s="90">
        <v>39043</v>
      </c>
      <c r="D3" s="90"/>
      <c r="E3" s="90"/>
      <c r="F3" s="90">
        <f>+E3-D3+C3-B3</f>
        <v>-5002</v>
      </c>
    </row>
    <row r="4" spans="1:6" x14ac:dyDescent="0.25">
      <c r="A4">
        <v>2</v>
      </c>
      <c r="B4" s="90">
        <v>48392</v>
      </c>
      <c r="C4" s="90">
        <v>43656</v>
      </c>
      <c r="D4" s="90"/>
      <c r="E4" s="90"/>
      <c r="F4" s="90">
        <f>+E4-D4+C4-B4</f>
        <v>-4736</v>
      </c>
    </row>
    <row r="5" spans="1:6" x14ac:dyDescent="0.25">
      <c r="A5">
        <v>3</v>
      </c>
      <c r="B5" s="90">
        <v>60040</v>
      </c>
      <c r="C5" s="90">
        <v>58397</v>
      </c>
      <c r="D5" s="90"/>
      <c r="E5" s="90"/>
      <c r="F5" s="90">
        <f>+E5-D5+C5-B5</f>
        <v>-1643</v>
      </c>
    </row>
    <row r="6" spans="1:6" x14ac:dyDescent="0.25">
      <c r="A6">
        <v>4</v>
      </c>
      <c r="B6" s="90">
        <v>52770</v>
      </c>
      <c r="C6" s="90">
        <v>47992</v>
      </c>
      <c r="D6" s="90"/>
      <c r="E6" s="90"/>
      <c r="F6" s="90">
        <f t="shared" ref="F6:F33" si="0">+E6-D6+C6-B6</f>
        <v>-4778</v>
      </c>
    </row>
    <row r="7" spans="1:6" x14ac:dyDescent="0.25">
      <c r="A7">
        <v>5</v>
      </c>
      <c r="B7" s="90">
        <v>46964</v>
      </c>
      <c r="C7" s="90">
        <v>48492</v>
      </c>
      <c r="D7" s="90"/>
      <c r="E7" s="90"/>
      <c r="F7" s="90">
        <f t="shared" si="0"/>
        <v>1528</v>
      </c>
    </row>
    <row r="8" spans="1:6" x14ac:dyDescent="0.25">
      <c r="A8">
        <v>6</v>
      </c>
      <c r="B8" s="90">
        <v>54280</v>
      </c>
      <c r="C8" s="90">
        <v>54491</v>
      </c>
      <c r="D8" s="90"/>
      <c r="E8" s="90"/>
      <c r="F8" s="90">
        <f t="shared" si="0"/>
        <v>211</v>
      </c>
    </row>
    <row r="9" spans="1:6" x14ac:dyDescent="0.25">
      <c r="A9">
        <v>7</v>
      </c>
      <c r="B9" s="90">
        <v>50994</v>
      </c>
      <c r="C9" s="90">
        <v>46207</v>
      </c>
      <c r="D9" s="90">
        <v>-1</v>
      </c>
      <c r="E9" s="90"/>
      <c r="F9" s="90">
        <f t="shared" si="0"/>
        <v>-4786</v>
      </c>
    </row>
    <row r="10" spans="1:6" x14ac:dyDescent="0.25">
      <c r="A10">
        <v>8</v>
      </c>
      <c r="B10" s="90">
        <v>50704</v>
      </c>
      <c r="C10" s="90">
        <v>46207</v>
      </c>
      <c r="D10" s="90"/>
      <c r="E10" s="90"/>
      <c r="F10" s="90">
        <f t="shared" si="0"/>
        <v>-4497</v>
      </c>
    </row>
    <row r="11" spans="1:6" x14ac:dyDescent="0.25">
      <c r="A11">
        <v>9</v>
      </c>
      <c r="B11" s="90">
        <v>49822</v>
      </c>
      <c r="C11" s="90">
        <v>46207</v>
      </c>
      <c r="D11" s="90"/>
      <c r="E11" s="90"/>
      <c r="F11" s="90">
        <f t="shared" si="0"/>
        <v>-3615</v>
      </c>
    </row>
    <row r="12" spans="1:6" x14ac:dyDescent="0.25">
      <c r="A12">
        <v>10</v>
      </c>
      <c r="B12" s="90">
        <v>51841</v>
      </c>
      <c r="C12" s="90">
        <v>47207</v>
      </c>
      <c r="D12" s="90"/>
      <c r="E12" s="90"/>
      <c r="F12" s="90">
        <f t="shared" si="0"/>
        <v>-4634</v>
      </c>
    </row>
    <row r="13" spans="1:6" x14ac:dyDescent="0.25">
      <c r="A13">
        <v>11</v>
      </c>
      <c r="B13" s="90">
        <v>44580</v>
      </c>
      <c r="C13" s="90">
        <v>46492</v>
      </c>
      <c r="D13" s="90"/>
      <c r="E13" s="90"/>
      <c r="F13" s="90">
        <f t="shared" si="0"/>
        <v>1912</v>
      </c>
    </row>
    <row r="14" spans="1:6" x14ac:dyDescent="0.25">
      <c r="A14">
        <v>12</v>
      </c>
      <c r="B14" s="88">
        <v>61177</v>
      </c>
      <c r="C14" s="88">
        <v>56491</v>
      </c>
      <c r="D14" s="88"/>
      <c r="E14" s="88"/>
      <c r="F14" s="90">
        <f t="shared" si="0"/>
        <v>-4686</v>
      </c>
    </row>
    <row r="15" spans="1:6" x14ac:dyDescent="0.25">
      <c r="A15">
        <v>13</v>
      </c>
      <c r="B15" s="88">
        <v>48700</v>
      </c>
      <c r="C15" s="88">
        <v>43898</v>
      </c>
      <c r="D15" s="88"/>
      <c r="E15" s="88"/>
      <c r="F15" s="90">
        <f t="shared" si="0"/>
        <v>-4802</v>
      </c>
    </row>
    <row r="16" spans="1:6" x14ac:dyDescent="0.25">
      <c r="A16">
        <v>14</v>
      </c>
      <c r="B16" s="88">
        <v>34688</v>
      </c>
      <c r="C16" s="88">
        <v>29491</v>
      </c>
      <c r="D16" s="88"/>
      <c r="E16" s="88"/>
      <c r="F16" s="90">
        <f t="shared" si="0"/>
        <v>-5197</v>
      </c>
    </row>
    <row r="17" spans="1:6" x14ac:dyDescent="0.25">
      <c r="A17">
        <v>15</v>
      </c>
      <c r="B17" s="88">
        <v>33733</v>
      </c>
      <c r="C17" s="88">
        <v>28660</v>
      </c>
      <c r="D17" s="14"/>
      <c r="E17" s="14"/>
      <c r="F17" s="90">
        <f t="shared" si="0"/>
        <v>-5073</v>
      </c>
    </row>
    <row r="18" spans="1:6" x14ac:dyDescent="0.25">
      <c r="A18">
        <v>16</v>
      </c>
      <c r="B18" s="88">
        <v>34395</v>
      </c>
      <c r="C18" s="88">
        <v>29491</v>
      </c>
      <c r="D18" s="14"/>
      <c r="E18" s="14"/>
      <c r="F18" s="90">
        <f t="shared" si="0"/>
        <v>-4904</v>
      </c>
    </row>
    <row r="19" spans="1:6" x14ac:dyDescent="0.25">
      <c r="A19">
        <v>17</v>
      </c>
      <c r="B19" s="88">
        <v>37131</v>
      </c>
      <c r="C19" s="14">
        <v>37990</v>
      </c>
      <c r="D19" s="14"/>
      <c r="E19" s="14"/>
      <c r="F19" s="90">
        <f t="shared" si="0"/>
        <v>859</v>
      </c>
    </row>
    <row r="20" spans="1:6" x14ac:dyDescent="0.25">
      <c r="A20">
        <v>18</v>
      </c>
      <c r="B20" s="350">
        <v>39400</v>
      </c>
      <c r="C20" s="350">
        <v>39492</v>
      </c>
      <c r="D20" s="14"/>
      <c r="E20" s="14"/>
      <c r="F20" s="90">
        <f t="shared" si="0"/>
        <v>92</v>
      </c>
    </row>
    <row r="21" spans="1:6" x14ac:dyDescent="0.25">
      <c r="A21">
        <v>19</v>
      </c>
      <c r="B21" s="350">
        <v>38526</v>
      </c>
      <c r="C21" s="350">
        <v>39492</v>
      </c>
      <c r="D21" s="14"/>
      <c r="E21" s="14"/>
      <c r="F21" s="90">
        <f t="shared" si="0"/>
        <v>966</v>
      </c>
    </row>
    <row r="22" spans="1:6" x14ac:dyDescent="0.25">
      <c r="A22">
        <v>20</v>
      </c>
      <c r="B22" s="350">
        <v>39189</v>
      </c>
      <c r="C22" s="350">
        <v>39083</v>
      </c>
      <c r="D22" s="14"/>
      <c r="E22" s="14"/>
      <c r="F22" s="90">
        <f t="shared" si="0"/>
        <v>-106</v>
      </c>
    </row>
    <row r="23" spans="1:6" x14ac:dyDescent="0.25">
      <c r="A23">
        <v>21</v>
      </c>
      <c r="B23" s="350">
        <v>28814</v>
      </c>
      <c r="C23" s="350">
        <v>28606</v>
      </c>
      <c r="D23" s="14"/>
      <c r="E23" s="14"/>
      <c r="F23" s="90">
        <f t="shared" si="0"/>
        <v>-208</v>
      </c>
    </row>
    <row r="24" spans="1:6" x14ac:dyDescent="0.25">
      <c r="A24">
        <v>22</v>
      </c>
      <c r="B24" s="350">
        <v>30300</v>
      </c>
      <c r="C24" s="350">
        <v>28882</v>
      </c>
      <c r="D24" s="14"/>
      <c r="E24" s="14"/>
      <c r="F24" s="90">
        <f t="shared" si="0"/>
        <v>-1418</v>
      </c>
    </row>
    <row r="25" spans="1:6" x14ac:dyDescent="0.25">
      <c r="A25">
        <v>23</v>
      </c>
      <c r="B25" s="350">
        <v>29239</v>
      </c>
      <c r="C25" s="350">
        <v>29491</v>
      </c>
      <c r="D25" s="14"/>
      <c r="E25" s="14"/>
      <c r="F25" s="90">
        <f t="shared" si="0"/>
        <v>252</v>
      </c>
    </row>
    <row r="26" spans="1:6" x14ac:dyDescent="0.25">
      <c r="A26">
        <v>24</v>
      </c>
      <c r="B26" s="350">
        <v>38076</v>
      </c>
      <c r="C26" s="350">
        <v>38255</v>
      </c>
      <c r="D26" s="14"/>
      <c r="E26" s="14"/>
      <c r="F26" s="90">
        <f t="shared" si="0"/>
        <v>179</v>
      </c>
    </row>
    <row r="27" spans="1:6" x14ac:dyDescent="0.25">
      <c r="A27">
        <v>25</v>
      </c>
      <c r="B27" s="350">
        <v>31684</v>
      </c>
      <c r="C27" s="350">
        <v>49492</v>
      </c>
      <c r="D27" s="14">
        <v>-5</v>
      </c>
      <c r="E27" s="14"/>
      <c r="F27" s="90">
        <f t="shared" si="0"/>
        <v>17813</v>
      </c>
    </row>
    <row r="28" spans="1:6" x14ac:dyDescent="0.25">
      <c r="A28">
        <v>26</v>
      </c>
      <c r="B28" s="350">
        <v>37330</v>
      </c>
      <c r="C28" s="350">
        <v>37491</v>
      </c>
      <c r="D28" s="14"/>
      <c r="E28" s="14"/>
      <c r="F28" s="90">
        <f t="shared" si="0"/>
        <v>161</v>
      </c>
    </row>
    <row r="29" spans="1:6" x14ac:dyDescent="0.25">
      <c r="A29">
        <v>27</v>
      </c>
      <c r="B29" s="350">
        <v>37528</v>
      </c>
      <c r="C29" s="350">
        <v>37679</v>
      </c>
      <c r="D29" s="14"/>
      <c r="E29" s="14"/>
      <c r="F29" s="90">
        <f t="shared" si="0"/>
        <v>151</v>
      </c>
    </row>
    <row r="30" spans="1:6" x14ac:dyDescent="0.25">
      <c r="A30">
        <v>28</v>
      </c>
      <c r="B30" s="350">
        <v>33820</v>
      </c>
      <c r="C30" s="350">
        <v>33936</v>
      </c>
      <c r="D30" s="14"/>
      <c r="E30" s="14"/>
      <c r="F30" s="90">
        <f t="shared" si="0"/>
        <v>116</v>
      </c>
    </row>
    <row r="31" spans="1:6" x14ac:dyDescent="0.25">
      <c r="A31">
        <v>29</v>
      </c>
      <c r="B31" s="350"/>
      <c r="C31" s="350"/>
      <c r="D31" s="14"/>
      <c r="E31" s="14"/>
      <c r="F31" s="90">
        <f t="shared" si="0"/>
        <v>0</v>
      </c>
    </row>
    <row r="32" spans="1:6" x14ac:dyDescent="0.25">
      <c r="A32">
        <v>30</v>
      </c>
      <c r="B32" s="350"/>
      <c r="C32" s="350"/>
      <c r="D32" s="14"/>
      <c r="E32" s="14"/>
      <c r="F32" s="90">
        <f t="shared" si="0"/>
        <v>0</v>
      </c>
    </row>
    <row r="33" spans="1:6" x14ac:dyDescent="0.25">
      <c r="A33">
        <v>31</v>
      </c>
      <c r="B33" s="350"/>
      <c r="C33" s="350"/>
      <c r="D33" s="14"/>
      <c r="E33" s="14"/>
      <c r="F33" s="90">
        <f t="shared" si="0"/>
        <v>0</v>
      </c>
    </row>
    <row r="34" spans="1:6" x14ac:dyDescent="0.25">
      <c r="B34" s="298">
        <f>SUM(B3:B33)</f>
        <v>1188162</v>
      </c>
      <c r="C34" s="298">
        <f>SUM(C3:C33)</f>
        <v>1152311</v>
      </c>
      <c r="D34" s="14">
        <f>SUM(D3:D33)</f>
        <v>-6</v>
      </c>
      <c r="E34" s="14">
        <f>SUM(E3:E33)</f>
        <v>0</v>
      </c>
      <c r="F34" s="14">
        <f>SUM(F3:F33)</f>
        <v>-35845</v>
      </c>
    </row>
    <row r="35" spans="1:6" x14ac:dyDescent="0.25">
      <c r="D35" s="14"/>
      <c r="E35" s="14"/>
      <c r="F35" s="14"/>
    </row>
    <row r="36" spans="1:6" x14ac:dyDescent="0.25">
      <c r="F36" s="354"/>
    </row>
    <row r="37" spans="1:6" x14ac:dyDescent="0.25">
      <c r="A37" s="264">
        <v>37072</v>
      </c>
      <c r="B37" s="14"/>
      <c r="C37" s="14"/>
      <c r="D37" s="14"/>
      <c r="E37" s="14"/>
      <c r="F37" s="376">
        <f>72277+120061</f>
        <v>192338</v>
      </c>
    </row>
    <row r="38" spans="1:6" x14ac:dyDescent="0.25">
      <c r="A38" s="264">
        <v>37100</v>
      </c>
      <c r="B38" s="14"/>
      <c r="C38" s="14"/>
      <c r="D38" s="14"/>
      <c r="E38" s="14"/>
      <c r="F38" s="150">
        <f>+F37+F34</f>
        <v>156493</v>
      </c>
    </row>
    <row r="39" spans="1:6" x14ac:dyDescent="0.25">
      <c r="F39" s="306"/>
    </row>
    <row r="40" spans="1:6" x14ac:dyDescent="0.25">
      <c r="F40" s="306"/>
    </row>
    <row r="41" spans="1:6" x14ac:dyDescent="0.25">
      <c r="F41" s="306"/>
    </row>
    <row r="42" spans="1:6" x14ac:dyDescent="0.25">
      <c r="F42" s="306"/>
    </row>
    <row r="43" spans="1:6" x14ac:dyDescent="0.25">
      <c r="F43" s="306"/>
    </row>
    <row r="44" spans="1:6" x14ac:dyDescent="0.25">
      <c r="F44" s="306"/>
    </row>
    <row r="45" spans="1:6" x14ac:dyDescent="0.25">
      <c r="F45" s="306"/>
    </row>
    <row r="46" spans="1:6" x14ac:dyDescent="0.25">
      <c r="F46" s="306"/>
    </row>
    <row r="47" spans="1:6" x14ac:dyDescent="0.25">
      <c r="F47" s="306"/>
    </row>
    <row r="48" spans="1:6" x14ac:dyDescent="0.25">
      <c r="F48" s="3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32" sqref="C32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-41815</v>
      </c>
      <c r="C4" s="11">
        <v>-41797</v>
      </c>
      <c r="D4" s="25">
        <f>+C4-B4</f>
        <v>18</v>
      </c>
    </row>
    <row r="5" spans="1:4" x14ac:dyDescent="0.25">
      <c r="A5" s="10">
        <v>2</v>
      </c>
      <c r="B5" s="11">
        <v>-36544</v>
      </c>
      <c r="C5" s="11">
        <v>-36093</v>
      </c>
      <c r="D5" s="25">
        <f t="shared" ref="D5:D34" si="0">+C5-B5</f>
        <v>451</v>
      </c>
    </row>
    <row r="6" spans="1:4" x14ac:dyDescent="0.25">
      <c r="A6" s="10">
        <v>3</v>
      </c>
      <c r="B6" s="11">
        <v>-35547</v>
      </c>
      <c r="C6" s="11">
        <v>-35000</v>
      </c>
      <c r="D6" s="25">
        <f t="shared" si="0"/>
        <v>547</v>
      </c>
    </row>
    <row r="7" spans="1:4" x14ac:dyDescent="0.25">
      <c r="A7" s="10">
        <v>4</v>
      </c>
      <c r="B7" s="11">
        <v>-50308</v>
      </c>
      <c r="C7" s="11">
        <v>-49522</v>
      </c>
      <c r="D7" s="25">
        <f t="shared" si="0"/>
        <v>786</v>
      </c>
    </row>
    <row r="8" spans="1:4" x14ac:dyDescent="0.25">
      <c r="A8" s="10">
        <v>5</v>
      </c>
      <c r="B8" s="11">
        <v>-40937</v>
      </c>
      <c r="C8" s="11">
        <v>-42451</v>
      </c>
      <c r="D8" s="25">
        <f t="shared" si="0"/>
        <v>-1514</v>
      </c>
    </row>
    <row r="9" spans="1:4" x14ac:dyDescent="0.25">
      <c r="A9" s="10">
        <v>6</v>
      </c>
      <c r="B9" s="11">
        <v>-37277</v>
      </c>
      <c r="C9" s="11">
        <v>-37076</v>
      </c>
      <c r="D9" s="25">
        <f t="shared" si="0"/>
        <v>201</v>
      </c>
    </row>
    <row r="10" spans="1:4" x14ac:dyDescent="0.25">
      <c r="A10" s="10">
        <v>7</v>
      </c>
      <c r="B10" s="129">
        <v>-46378</v>
      </c>
      <c r="C10" s="11">
        <v>-45798</v>
      </c>
      <c r="D10" s="25">
        <f t="shared" si="0"/>
        <v>580</v>
      </c>
    </row>
    <row r="11" spans="1:4" x14ac:dyDescent="0.25">
      <c r="A11" s="10">
        <v>8</v>
      </c>
      <c r="B11" s="11">
        <v>-39077</v>
      </c>
      <c r="C11" s="11">
        <v>-41888</v>
      </c>
      <c r="D11" s="25">
        <f t="shared" si="0"/>
        <v>-2811</v>
      </c>
    </row>
    <row r="12" spans="1:4" x14ac:dyDescent="0.25">
      <c r="A12" s="10">
        <v>9</v>
      </c>
      <c r="B12" s="11">
        <v>-40231</v>
      </c>
      <c r="C12" s="11">
        <v>-45000</v>
      </c>
      <c r="D12" s="25">
        <f t="shared" si="0"/>
        <v>-4769</v>
      </c>
    </row>
    <row r="13" spans="1:4" x14ac:dyDescent="0.25">
      <c r="A13" s="10">
        <v>10</v>
      </c>
      <c r="B13" s="11">
        <v>-35607</v>
      </c>
      <c r="C13" s="11">
        <v>-37607</v>
      </c>
      <c r="D13" s="25">
        <f t="shared" si="0"/>
        <v>-2000</v>
      </c>
    </row>
    <row r="14" spans="1:4" x14ac:dyDescent="0.25">
      <c r="A14" s="10">
        <v>11</v>
      </c>
      <c r="B14" s="11">
        <v>-40133</v>
      </c>
      <c r="C14" s="11">
        <v>-39474</v>
      </c>
      <c r="D14" s="25">
        <f t="shared" si="0"/>
        <v>659</v>
      </c>
    </row>
    <row r="15" spans="1:4" x14ac:dyDescent="0.25">
      <c r="A15" s="10">
        <v>12</v>
      </c>
      <c r="B15" s="11">
        <v>-41999</v>
      </c>
      <c r="C15" s="11">
        <v>-41904</v>
      </c>
      <c r="D15" s="25">
        <f t="shared" si="0"/>
        <v>95</v>
      </c>
    </row>
    <row r="16" spans="1:4" x14ac:dyDescent="0.25">
      <c r="A16" s="10">
        <v>13</v>
      </c>
      <c r="B16" s="11">
        <v>-41383</v>
      </c>
      <c r="C16" s="11">
        <v>-40511</v>
      </c>
      <c r="D16" s="25">
        <f t="shared" si="0"/>
        <v>872</v>
      </c>
    </row>
    <row r="17" spans="1:4" x14ac:dyDescent="0.25">
      <c r="A17" s="10">
        <v>14</v>
      </c>
      <c r="B17" s="11">
        <v>-51938</v>
      </c>
      <c r="C17" s="11">
        <v>-49873</v>
      </c>
      <c r="D17" s="25">
        <f t="shared" si="0"/>
        <v>2065</v>
      </c>
    </row>
    <row r="18" spans="1:4" x14ac:dyDescent="0.25">
      <c r="A18" s="10">
        <v>15</v>
      </c>
      <c r="B18" s="11">
        <v>-35328</v>
      </c>
      <c r="C18" s="11">
        <v>-34932</v>
      </c>
      <c r="D18" s="25">
        <f t="shared" si="0"/>
        <v>396</v>
      </c>
    </row>
    <row r="19" spans="1:4" x14ac:dyDescent="0.25">
      <c r="A19" s="10">
        <v>16</v>
      </c>
      <c r="B19" s="11">
        <v>-31944</v>
      </c>
      <c r="C19" s="11">
        <v>-31192</v>
      </c>
      <c r="D19" s="25">
        <f t="shared" si="0"/>
        <v>752</v>
      </c>
    </row>
    <row r="20" spans="1:4" x14ac:dyDescent="0.25">
      <c r="A20" s="10">
        <v>17</v>
      </c>
      <c r="B20" s="11">
        <v>-38883</v>
      </c>
      <c r="C20" s="11">
        <v>-37933</v>
      </c>
      <c r="D20" s="25">
        <f t="shared" si="0"/>
        <v>950</v>
      </c>
    </row>
    <row r="21" spans="1:4" x14ac:dyDescent="0.25">
      <c r="A21" s="10">
        <v>18</v>
      </c>
      <c r="B21" s="11">
        <v>-35984</v>
      </c>
      <c r="C21" s="11">
        <v>-35687</v>
      </c>
      <c r="D21" s="25">
        <f t="shared" si="0"/>
        <v>297</v>
      </c>
    </row>
    <row r="22" spans="1:4" x14ac:dyDescent="0.25">
      <c r="A22" s="10">
        <v>19</v>
      </c>
      <c r="B22" s="11">
        <v>-35851</v>
      </c>
      <c r="C22" s="11">
        <v>-34298</v>
      </c>
      <c r="D22" s="25">
        <f t="shared" si="0"/>
        <v>1553</v>
      </c>
    </row>
    <row r="23" spans="1:4" x14ac:dyDescent="0.25">
      <c r="A23" s="10">
        <v>20</v>
      </c>
      <c r="B23" s="11">
        <v>-36616</v>
      </c>
      <c r="C23" s="11">
        <v>-35615</v>
      </c>
      <c r="D23" s="25">
        <f t="shared" si="0"/>
        <v>1001</v>
      </c>
    </row>
    <row r="24" spans="1:4" x14ac:dyDescent="0.25">
      <c r="A24" s="10">
        <v>21</v>
      </c>
      <c r="B24" s="11">
        <v>-34999</v>
      </c>
      <c r="C24" s="11">
        <v>-35000</v>
      </c>
      <c r="D24" s="25">
        <f t="shared" si="0"/>
        <v>-1</v>
      </c>
    </row>
    <row r="25" spans="1:4" x14ac:dyDescent="0.25">
      <c r="A25" s="10">
        <v>22</v>
      </c>
      <c r="B25" s="11">
        <v>-34709</v>
      </c>
      <c r="C25" s="11">
        <v>-33577</v>
      </c>
      <c r="D25" s="25">
        <f t="shared" si="0"/>
        <v>1132</v>
      </c>
    </row>
    <row r="26" spans="1:4" x14ac:dyDescent="0.25">
      <c r="A26" s="10">
        <v>23</v>
      </c>
      <c r="B26" s="11">
        <v>-34476</v>
      </c>
      <c r="C26" s="11">
        <v>-34120</v>
      </c>
      <c r="D26" s="25">
        <f t="shared" si="0"/>
        <v>356</v>
      </c>
    </row>
    <row r="27" spans="1:4" x14ac:dyDescent="0.25">
      <c r="A27" s="10">
        <v>24</v>
      </c>
      <c r="B27" s="11">
        <v>-36011</v>
      </c>
      <c r="C27" s="11">
        <v>-35000</v>
      </c>
      <c r="D27" s="25">
        <f t="shared" si="0"/>
        <v>1011</v>
      </c>
    </row>
    <row r="28" spans="1:4" x14ac:dyDescent="0.25">
      <c r="A28" s="10">
        <v>25</v>
      </c>
      <c r="B28" s="11">
        <v>-35510</v>
      </c>
      <c r="C28" s="11">
        <v>-34878</v>
      </c>
      <c r="D28" s="25">
        <f t="shared" si="0"/>
        <v>632</v>
      </c>
    </row>
    <row r="29" spans="1:4" x14ac:dyDescent="0.25">
      <c r="A29" s="10">
        <v>26</v>
      </c>
      <c r="B29" s="11">
        <v>-32964</v>
      </c>
      <c r="C29" s="11">
        <v>-35000</v>
      </c>
      <c r="D29" s="25">
        <f t="shared" si="0"/>
        <v>-2036</v>
      </c>
    </row>
    <row r="30" spans="1:4" x14ac:dyDescent="0.25">
      <c r="A30" s="10">
        <v>27</v>
      </c>
      <c r="B30" s="11">
        <v>-39421</v>
      </c>
      <c r="C30" s="11">
        <v>-38227</v>
      </c>
      <c r="D30" s="25">
        <f t="shared" si="0"/>
        <v>1194</v>
      </c>
    </row>
    <row r="31" spans="1:4" x14ac:dyDescent="0.25">
      <c r="A31" s="10">
        <v>28</v>
      </c>
      <c r="B31" s="11">
        <v>-35004</v>
      </c>
      <c r="C31" s="11">
        <v>-35000</v>
      </c>
      <c r="D31" s="25">
        <f t="shared" si="0"/>
        <v>4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-1076874</v>
      </c>
      <c r="C35" s="11">
        <f>SUM(C4:C34)</f>
        <v>-1074453</v>
      </c>
      <c r="D35" s="11">
        <f>SUM(D4:D34)</f>
        <v>2421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37072</v>
      </c>
      <c r="D38" s="380">
        <v>133095</v>
      </c>
    </row>
    <row r="39" spans="1:4" x14ac:dyDescent="0.25">
      <c r="A39" s="2"/>
      <c r="D39" s="24"/>
    </row>
    <row r="40" spans="1:4" x14ac:dyDescent="0.25">
      <c r="A40" s="57">
        <v>37100</v>
      </c>
      <c r="D40" s="51">
        <f>+D38+D35</f>
        <v>135516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G31" sqref="G31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21134</v>
      </c>
      <c r="C4" s="11">
        <v>22000</v>
      </c>
      <c r="D4" s="11">
        <v>7139</v>
      </c>
      <c r="E4" s="11">
        <v>9000</v>
      </c>
      <c r="F4" s="11">
        <v>15626</v>
      </c>
      <c r="G4" s="11">
        <v>12000</v>
      </c>
      <c r="H4" s="11"/>
      <c r="I4" s="11"/>
      <c r="J4" s="11">
        <f t="shared" ref="J4:J34" si="0">+C4+E4+G4+I4-H4-F4-D4-B4</f>
        <v>-899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21084</v>
      </c>
      <c r="C5" s="11">
        <v>22000</v>
      </c>
      <c r="D5" s="11">
        <v>6941</v>
      </c>
      <c r="E5" s="11">
        <v>9000</v>
      </c>
      <c r="F5" s="11">
        <v>15057</v>
      </c>
      <c r="G5" s="11">
        <v>12000</v>
      </c>
      <c r="H5" s="11"/>
      <c r="I5" s="11"/>
      <c r="J5" s="11">
        <f t="shared" si="0"/>
        <v>-82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20925</v>
      </c>
      <c r="C6" s="11">
        <v>18000</v>
      </c>
      <c r="D6" s="11">
        <v>8033</v>
      </c>
      <c r="E6" s="11">
        <v>8000</v>
      </c>
      <c r="F6" s="11">
        <v>2291</v>
      </c>
      <c r="G6" s="11"/>
      <c r="H6" s="11">
        <v>1446</v>
      </c>
      <c r="I6" s="11"/>
      <c r="J6" s="11">
        <f t="shared" si="0"/>
        <v>-6695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20718</v>
      </c>
      <c r="C7" s="11">
        <v>18500</v>
      </c>
      <c r="D7" s="11">
        <v>7747</v>
      </c>
      <c r="E7" s="11">
        <v>8500</v>
      </c>
      <c r="F7" s="11"/>
      <c r="G7" s="11"/>
      <c r="H7" s="11"/>
      <c r="I7" s="11"/>
      <c r="J7" s="11">
        <f t="shared" si="0"/>
        <v>-1465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20608</v>
      </c>
      <c r="C8" s="11">
        <v>18500</v>
      </c>
      <c r="D8" s="129">
        <v>9842</v>
      </c>
      <c r="E8" s="11">
        <v>8500</v>
      </c>
      <c r="F8" s="11"/>
      <c r="G8" s="11"/>
      <c r="H8" s="11"/>
      <c r="I8" s="11"/>
      <c r="J8" s="11">
        <f t="shared" si="0"/>
        <v>-3450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20767</v>
      </c>
      <c r="C9" s="11">
        <v>25000</v>
      </c>
      <c r="D9" s="11">
        <v>9801</v>
      </c>
      <c r="E9" s="11">
        <v>9000</v>
      </c>
      <c r="F9" s="11"/>
      <c r="G9" s="11"/>
      <c r="H9" s="11"/>
      <c r="I9" s="11"/>
      <c r="J9" s="11">
        <f t="shared" si="0"/>
        <v>3432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24931</v>
      </c>
      <c r="C10" s="11">
        <v>28000</v>
      </c>
      <c r="D10" s="129">
        <v>9412</v>
      </c>
      <c r="E10" s="11">
        <v>9000</v>
      </c>
      <c r="F10" s="11"/>
      <c r="G10" s="11"/>
      <c r="H10" s="11"/>
      <c r="I10" s="11"/>
      <c r="J10" s="11">
        <f t="shared" si="0"/>
        <v>2657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26332</v>
      </c>
      <c r="C11" s="11">
        <v>28000</v>
      </c>
      <c r="D11" s="11">
        <v>9612</v>
      </c>
      <c r="E11" s="11">
        <v>9000</v>
      </c>
      <c r="F11" s="11"/>
      <c r="G11" s="11"/>
      <c r="H11" s="11"/>
      <c r="I11" s="11"/>
      <c r="J11" s="11">
        <f t="shared" si="0"/>
        <v>1056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26817</v>
      </c>
      <c r="C12" s="11">
        <v>28000</v>
      </c>
      <c r="D12" s="11">
        <v>10027</v>
      </c>
      <c r="E12" s="11">
        <v>9000</v>
      </c>
      <c r="F12" s="11"/>
      <c r="G12" s="11"/>
      <c r="H12" s="11">
        <v>28</v>
      </c>
      <c r="I12" s="11"/>
      <c r="J12" s="11">
        <f t="shared" si="0"/>
        <v>128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27030</v>
      </c>
      <c r="C13" s="11">
        <v>27299</v>
      </c>
      <c r="D13" s="11">
        <v>9562</v>
      </c>
      <c r="E13" s="11">
        <v>9000</v>
      </c>
      <c r="F13" s="11"/>
      <c r="G13" s="11"/>
      <c r="H13" s="11"/>
      <c r="I13" s="11"/>
      <c r="J13" s="11">
        <f t="shared" si="0"/>
        <v>-293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22133</v>
      </c>
      <c r="C14" s="11">
        <v>26299</v>
      </c>
      <c r="D14" s="11">
        <v>9452</v>
      </c>
      <c r="E14" s="11">
        <v>9000</v>
      </c>
      <c r="F14" s="11"/>
      <c r="G14" s="11"/>
      <c r="H14" s="11"/>
      <c r="I14" s="11"/>
      <c r="J14" s="11">
        <f t="shared" si="0"/>
        <v>3714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25695</v>
      </c>
      <c r="C15" s="11">
        <v>26013</v>
      </c>
      <c r="D15" s="11">
        <v>9148</v>
      </c>
      <c r="E15" s="11">
        <v>8834</v>
      </c>
      <c r="F15" s="11"/>
      <c r="G15" s="11"/>
      <c r="H15" s="11"/>
      <c r="I15" s="11"/>
      <c r="J15" s="11">
        <f t="shared" si="0"/>
        <v>4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27986</v>
      </c>
      <c r="C16" s="11">
        <v>23782</v>
      </c>
      <c r="D16" s="11">
        <v>8904</v>
      </c>
      <c r="E16" s="11">
        <v>8727</v>
      </c>
      <c r="F16" s="11"/>
      <c r="G16" s="11"/>
      <c r="H16" s="11"/>
      <c r="I16" s="11">
        <v>1474</v>
      </c>
      <c r="J16" s="11">
        <f t="shared" si="0"/>
        <v>-2907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27921</v>
      </c>
      <c r="C17" s="11">
        <v>23994</v>
      </c>
      <c r="D17" s="11">
        <v>8574</v>
      </c>
      <c r="E17" s="11">
        <v>8998</v>
      </c>
      <c r="F17" s="11"/>
      <c r="G17" s="11"/>
      <c r="H17" s="11"/>
      <c r="I17" s="11"/>
      <c r="J17" s="11">
        <f t="shared" si="0"/>
        <v>-3503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27885</v>
      </c>
      <c r="C18" s="11">
        <v>19005</v>
      </c>
      <c r="D18" s="11">
        <v>8855</v>
      </c>
      <c r="E18" s="11">
        <v>7128</v>
      </c>
      <c r="F18" s="11"/>
      <c r="G18" s="11"/>
      <c r="H18" s="11"/>
      <c r="I18" s="11"/>
      <c r="J18" s="11">
        <f t="shared" si="0"/>
        <v>-10607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27959</v>
      </c>
      <c r="C19" s="11">
        <v>23994</v>
      </c>
      <c r="D19" s="11">
        <v>9328</v>
      </c>
      <c r="E19" s="11">
        <v>8998</v>
      </c>
      <c r="F19" s="11"/>
      <c r="G19" s="11"/>
      <c r="H19" s="11"/>
      <c r="I19" s="11"/>
      <c r="J19" s="11">
        <f t="shared" si="0"/>
        <v>-4295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27952</v>
      </c>
      <c r="C20" s="11">
        <v>23993</v>
      </c>
      <c r="D20" s="11">
        <v>9358</v>
      </c>
      <c r="E20" s="11">
        <v>8997</v>
      </c>
      <c r="F20" s="11"/>
      <c r="G20" s="11"/>
      <c r="H20" s="11"/>
      <c r="I20" s="11"/>
      <c r="J20" s="11">
        <f t="shared" si="0"/>
        <v>-4320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27969</v>
      </c>
      <c r="C21" s="11">
        <v>23560</v>
      </c>
      <c r="D21" s="11">
        <v>9040</v>
      </c>
      <c r="E21" s="11">
        <v>8836</v>
      </c>
      <c r="F21" s="11"/>
      <c r="G21" s="11"/>
      <c r="H21" s="11"/>
      <c r="I21" s="11"/>
      <c r="J21" s="11">
        <f t="shared" si="0"/>
        <v>-4613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27859</v>
      </c>
      <c r="C22" s="11">
        <v>22980</v>
      </c>
      <c r="D22" s="11">
        <v>8673</v>
      </c>
      <c r="E22" s="11">
        <v>7956</v>
      </c>
      <c r="F22" s="11"/>
      <c r="G22" s="11"/>
      <c r="H22" s="11"/>
      <c r="I22" s="11"/>
      <c r="J22" s="11">
        <f t="shared" si="0"/>
        <v>-5596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27646</v>
      </c>
      <c r="C23" s="11">
        <v>24996</v>
      </c>
      <c r="D23" s="11">
        <v>9467</v>
      </c>
      <c r="E23" s="11">
        <v>8998</v>
      </c>
      <c r="F23" s="11"/>
      <c r="G23" s="11"/>
      <c r="H23" s="11"/>
      <c r="I23" s="11"/>
      <c r="J23" s="11">
        <f t="shared" si="0"/>
        <v>-3119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27498</v>
      </c>
      <c r="C24" s="11">
        <v>23525</v>
      </c>
      <c r="D24" s="11">
        <v>9437</v>
      </c>
      <c r="E24" s="11">
        <v>8144</v>
      </c>
      <c r="F24" s="11"/>
      <c r="G24" s="11"/>
      <c r="H24" s="11">
        <v>1266</v>
      </c>
      <c r="I24" s="11"/>
      <c r="J24" s="11">
        <f t="shared" si="0"/>
        <v>-6532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27582</v>
      </c>
      <c r="C25" s="11">
        <v>24871</v>
      </c>
      <c r="D25" s="11">
        <v>7457</v>
      </c>
      <c r="E25" s="11">
        <v>8610</v>
      </c>
      <c r="F25" s="11"/>
      <c r="G25" s="11"/>
      <c r="H25" s="11">
        <v>1</v>
      </c>
      <c r="I25" s="11"/>
      <c r="J25" s="11">
        <f t="shared" si="0"/>
        <v>-1559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27616</v>
      </c>
      <c r="C26" s="11">
        <v>25996</v>
      </c>
      <c r="D26" s="11">
        <v>9400</v>
      </c>
      <c r="E26" s="11">
        <v>8999</v>
      </c>
      <c r="F26" s="11"/>
      <c r="G26" s="11"/>
      <c r="H26" s="11">
        <v>177</v>
      </c>
      <c r="I26" s="11"/>
      <c r="J26" s="11">
        <f t="shared" si="0"/>
        <v>-2198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27570</v>
      </c>
      <c r="C27" s="11">
        <v>25996</v>
      </c>
      <c r="D27" s="11">
        <v>8805</v>
      </c>
      <c r="E27" s="11">
        <v>8999</v>
      </c>
      <c r="F27" s="11"/>
      <c r="G27" s="11"/>
      <c r="H27" s="11"/>
      <c r="I27" s="11"/>
      <c r="J27" s="11">
        <f t="shared" si="0"/>
        <v>-1380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27423</v>
      </c>
      <c r="C28" s="11">
        <v>25000</v>
      </c>
      <c r="D28" s="11">
        <v>8781</v>
      </c>
      <c r="E28" s="11">
        <v>8000</v>
      </c>
      <c r="F28" s="11"/>
      <c r="G28" s="11"/>
      <c r="H28" s="11"/>
      <c r="I28" s="11"/>
      <c r="J28" s="11">
        <f t="shared" si="0"/>
        <v>-3204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>
        <v>27404</v>
      </c>
      <c r="C29" s="11">
        <v>24920</v>
      </c>
      <c r="D29" s="11">
        <v>9194</v>
      </c>
      <c r="E29" s="11">
        <v>7975</v>
      </c>
      <c r="F29" s="11"/>
      <c r="G29" s="11"/>
      <c r="H29" s="11"/>
      <c r="I29" s="11"/>
      <c r="J29" s="11">
        <f t="shared" si="0"/>
        <v>-3703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>
        <v>27389</v>
      </c>
      <c r="C30" s="11">
        <v>25734</v>
      </c>
      <c r="D30" s="11">
        <v>9201</v>
      </c>
      <c r="E30" s="11">
        <v>8000</v>
      </c>
      <c r="F30" s="11"/>
      <c r="G30" s="11"/>
      <c r="H30" s="11">
        <v>235</v>
      </c>
      <c r="I30" s="11">
        <v>1266</v>
      </c>
      <c r="J30" s="11">
        <f t="shared" si="0"/>
        <v>-1825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>
        <v>26777</v>
      </c>
      <c r="C31" s="11">
        <v>26500</v>
      </c>
      <c r="D31" s="11">
        <v>9276</v>
      </c>
      <c r="E31" s="11">
        <v>8500</v>
      </c>
      <c r="F31" s="11"/>
      <c r="G31" s="11"/>
      <c r="H31" s="11"/>
      <c r="I31" s="11"/>
      <c r="J31" s="11">
        <f t="shared" si="0"/>
        <v>-1053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720610</v>
      </c>
      <c r="C35" s="11">
        <f t="shared" ref="C35:I35" si="1">SUM(C4:C34)</f>
        <v>676457</v>
      </c>
      <c r="D35" s="11">
        <f t="shared" si="1"/>
        <v>250466</v>
      </c>
      <c r="E35" s="11">
        <f t="shared" si="1"/>
        <v>241699</v>
      </c>
      <c r="F35" s="11">
        <f t="shared" si="1"/>
        <v>32974</v>
      </c>
      <c r="G35" s="11">
        <f t="shared" si="1"/>
        <v>24000</v>
      </c>
      <c r="H35" s="11">
        <f t="shared" si="1"/>
        <v>3153</v>
      </c>
      <c r="I35" s="11">
        <f t="shared" si="1"/>
        <v>2740</v>
      </c>
      <c r="J35" s="11">
        <f>SUM(J4:J34)</f>
        <v>-62307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2.76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-171967.31999999998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3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37072</v>
      </c>
      <c r="C39" s="25"/>
      <c r="E39" s="25"/>
      <c r="G39" s="25"/>
      <c r="I39" s="25"/>
      <c r="J39" s="378">
        <v>334046.99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40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37100</v>
      </c>
      <c r="J41" s="340">
        <f>+J39+J37</f>
        <v>162079.67000000001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3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f>212.09*12</f>
        <v>2545.08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f>58.33*12</f>
        <v>699.96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f>+D67+D66</f>
        <v>3245.04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f>+D68/12</f>
        <v>270.42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>
        <v>516.78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>
        <v>212.08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>
        <v>58.33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v>25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812.19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3" workbookViewId="3">
      <selection activeCell="E47" sqref="E47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40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6">
        <v>12353</v>
      </c>
      <c r="C4" s="24" t="s">
        <v>130</v>
      </c>
      <c r="D4" s="236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/>
      <c r="C6" s="24"/>
      <c r="D6" s="24">
        <v>-37797</v>
      </c>
      <c r="E6" s="24">
        <v>-39510</v>
      </c>
      <c r="F6" s="24">
        <f>+C6+E6-B6-D6</f>
        <v>-1713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/>
      <c r="C7" s="24"/>
      <c r="D7" s="24">
        <v>-31170</v>
      </c>
      <c r="E7" s="24">
        <v>-33500</v>
      </c>
      <c r="F7" s="24">
        <f t="shared" ref="F7:F36" si="0">+C7+E7-B7-D7</f>
        <v>-2330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/>
      <c r="C8" s="24"/>
      <c r="D8" s="24">
        <v>-34998</v>
      </c>
      <c r="E8" s="24">
        <v>-34553</v>
      </c>
      <c r="F8" s="24">
        <f t="shared" si="0"/>
        <v>445</v>
      </c>
      <c r="G8" s="216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/>
      <c r="C9" s="24"/>
      <c r="D9" s="24">
        <v>-31405</v>
      </c>
      <c r="E9" s="24">
        <v>-37675</v>
      </c>
      <c r="F9" s="24">
        <f t="shared" si="0"/>
        <v>-6270</v>
      </c>
      <c r="G9" s="216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3">
        <v>-70684</v>
      </c>
      <c r="E10" s="24">
        <v>-71022</v>
      </c>
      <c r="F10" s="24">
        <f t="shared" si="0"/>
        <v>-338</v>
      </c>
      <c r="G10" s="217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v>-55482</v>
      </c>
      <c r="E11" s="24">
        <v>-53290</v>
      </c>
      <c r="F11" s="24">
        <f t="shared" si="0"/>
        <v>2192</v>
      </c>
      <c r="G11" s="217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51">
        <v>-54649</v>
      </c>
      <c r="E12" s="24">
        <v>-54207</v>
      </c>
      <c r="F12" s="24">
        <f t="shared" si="0"/>
        <v>442</v>
      </c>
      <c r="G12" s="217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v>-64238</v>
      </c>
      <c r="E13" s="24">
        <v>-65832</v>
      </c>
      <c r="F13" s="24">
        <f t="shared" si="0"/>
        <v>-1594</v>
      </c>
      <c r="G13" s="217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v>-56899</v>
      </c>
      <c r="E14" s="24">
        <v>-51220</v>
      </c>
      <c r="F14" s="24">
        <f t="shared" si="0"/>
        <v>5679</v>
      </c>
      <c r="G14" s="217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v>-80878</v>
      </c>
      <c r="E15" s="24">
        <v>-83278</v>
      </c>
      <c r="F15" s="24">
        <f t="shared" si="0"/>
        <v>-2400</v>
      </c>
      <c r="G15" s="217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v>-39218</v>
      </c>
      <c r="E16" s="24">
        <v>-34972</v>
      </c>
      <c r="F16" s="24">
        <f t="shared" si="0"/>
        <v>4246</v>
      </c>
      <c r="G16" s="217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v>-75159</v>
      </c>
      <c r="E17" s="24">
        <v>-76610</v>
      </c>
      <c r="F17" s="24">
        <f t="shared" si="0"/>
        <v>-1451</v>
      </c>
      <c r="G17" s="217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v>-84552</v>
      </c>
      <c r="E18" s="24">
        <v>-83645</v>
      </c>
      <c r="F18" s="24">
        <f t="shared" si="0"/>
        <v>907</v>
      </c>
      <c r="G18" s="217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v>-75573</v>
      </c>
      <c r="E19" s="24">
        <v>-76004</v>
      </c>
      <c r="F19" s="24">
        <f t="shared" si="0"/>
        <v>-431</v>
      </c>
      <c r="G19" s="217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v>-76895</v>
      </c>
      <c r="E20" s="24">
        <v>-77595</v>
      </c>
      <c r="F20" s="24">
        <f t="shared" si="0"/>
        <v>-700</v>
      </c>
      <c r="G20" s="217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v>-71854</v>
      </c>
      <c r="E21" s="24">
        <v>-71004</v>
      </c>
      <c r="F21" s="24">
        <f t="shared" si="0"/>
        <v>850</v>
      </c>
      <c r="G21" s="217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v>-64280</v>
      </c>
      <c r="E22" s="24">
        <v>-68313</v>
      </c>
      <c r="F22" s="24">
        <f t="shared" si="0"/>
        <v>-4033</v>
      </c>
      <c r="G22" s="217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v>-19489</v>
      </c>
      <c r="E23" s="24">
        <v>-24368</v>
      </c>
      <c r="F23" s="24">
        <f t="shared" si="0"/>
        <v>-4879</v>
      </c>
      <c r="G23" s="217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v>-48291</v>
      </c>
      <c r="E24" s="24">
        <v>-48478</v>
      </c>
      <c r="F24" s="24">
        <f t="shared" si="0"/>
        <v>-187</v>
      </c>
      <c r="G24" s="217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v>-62451</v>
      </c>
      <c r="E25" s="24">
        <v>-61816</v>
      </c>
      <c r="F25" s="24">
        <f t="shared" si="0"/>
        <v>635</v>
      </c>
      <c r="G25" s="217"/>
      <c r="O25" s="135"/>
      <c r="P25" s="205"/>
      <c r="Q25" s="218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v>-88384</v>
      </c>
      <c r="E26" s="24">
        <v>-90931</v>
      </c>
      <c r="F26" s="24">
        <f t="shared" si="0"/>
        <v>-2547</v>
      </c>
      <c r="G26" s="217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v>-85131</v>
      </c>
      <c r="E27" s="24">
        <v>-86099</v>
      </c>
      <c r="F27" s="24">
        <f t="shared" si="0"/>
        <v>-968</v>
      </c>
      <c r="G27" s="217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v>-78019</v>
      </c>
      <c r="E28" s="24">
        <v>-81042</v>
      </c>
      <c r="F28" s="24">
        <f t="shared" si="0"/>
        <v>-3023</v>
      </c>
      <c r="G28" s="217"/>
      <c r="O28" s="135"/>
      <c r="P28" s="205"/>
      <c r="Q28" s="135"/>
      <c r="R28" s="14"/>
      <c r="U28" s="14"/>
      <c r="V28" s="14"/>
      <c r="W28" s="75"/>
      <c r="X28" s="217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v>-55687</v>
      </c>
      <c r="E29" s="24">
        <v>-60271</v>
      </c>
      <c r="F29" s="24">
        <f t="shared" si="0"/>
        <v>-4584</v>
      </c>
      <c r="G29" s="217"/>
      <c r="P29" s="205"/>
      <c r="Q29" s="135"/>
      <c r="R29" s="14"/>
      <c r="U29" s="14"/>
      <c r="V29" s="14"/>
      <c r="W29" s="75"/>
      <c r="X29" s="220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v>-50744</v>
      </c>
      <c r="E30" s="24">
        <v>-50082</v>
      </c>
      <c r="F30" s="24">
        <f t="shared" si="0"/>
        <v>662</v>
      </c>
      <c r="G30" s="217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v>-24808</v>
      </c>
      <c r="E31" s="24">
        <v>-37758</v>
      </c>
      <c r="F31" s="24">
        <f t="shared" si="0"/>
        <v>-12950</v>
      </c>
      <c r="G31" s="217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v>-112267</v>
      </c>
      <c r="E32" s="24">
        <v>-116020</v>
      </c>
      <c r="F32" s="24">
        <f t="shared" si="0"/>
        <v>-3753</v>
      </c>
      <c r="G32" s="217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v>-104613</v>
      </c>
      <c r="E33" s="24">
        <v>-114768</v>
      </c>
      <c r="F33" s="24">
        <f t="shared" si="0"/>
        <v>-10155</v>
      </c>
      <c r="G33" s="217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7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7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7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0</v>
      </c>
      <c r="C37" s="24">
        <f>SUM(C6:C36)</f>
        <v>0</v>
      </c>
      <c r="D37" s="24">
        <f>SUM(D6:D36)</f>
        <v>-1735615</v>
      </c>
      <c r="E37" s="24">
        <f>SUM(E6:E36)</f>
        <v>-1783863</v>
      </c>
      <c r="F37" s="24">
        <f>SUM(F6:F36)</f>
        <v>-48248</v>
      </c>
      <c r="G37" s="343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81</v>
      </c>
      <c r="E38" s="14"/>
      <c r="F38" s="104">
        <f>+summary!H4</f>
        <v>2.76</v>
      </c>
      <c r="G38" s="217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E39" s="14"/>
      <c r="F39" s="104">
        <f>+F38*F37</f>
        <v>-133164.47999999998</v>
      </c>
      <c r="G39" s="221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264">
        <v>37072</v>
      </c>
      <c r="E40" s="14"/>
      <c r="F40" s="377">
        <v>555453.09</v>
      </c>
      <c r="G40" s="221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264">
        <v>37100</v>
      </c>
      <c r="E41" s="14"/>
      <c r="F41" s="104">
        <f>+F40+F39</f>
        <v>422288.61</v>
      </c>
      <c r="G41" s="221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9"/>
      <c r="E43" s="209"/>
      <c r="F43" s="206"/>
      <c r="G43" s="217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9"/>
      <c r="E44" s="209"/>
      <c r="F44" s="206"/>
      <c r="G44" s="217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C45" s="75"/>
      <c r="D45" s="215"/>
      <c r="E45" s="209"/>
      <c r="F45" s="206"/>
      <c r="G45" s="217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C46" s="75"/>
      <c r="D46" s="215"/>
      <c r="E46" s="209"/>
      <c r="F46" s="206"/>
      <c r="G46" s="217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C47" s="75"/>
      <c r="D47" s="215"/>
      <c r="E47" s="209"/>
      <c r="F47" s="206"/>
      <c r="G47" s="217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C48" s="209"/>
      <c r="D48" s="215"/>
      <c r="E48" s="209"/>
      <c r="F48" s="206"/>
      <c r="G48" s="217"/>
      <c r="AD48" s="101"/>
      <c r="AE48" s="214"/>
      <c r="AF48" s="24"/>
      <c r="AG48" s="24"/>
      <c r="AH48" s="106"/>
      <c r="AI48" s="143"/>
      <c r="AJ48" s="15"/>
    </row>
    <row r="49" spans="3:36" ht="18" customHeight="1" x14ac:dyDescent="0.2">
      <c r="C49" s="209"/>
      <c r="D49" s="215"/>
      <c r="E49" s="209"/>
      <c r="F49" s="206"/>
      <c r="G49" s="217"/>
      <c r="AD49" s="101"/>
      <c r="AE49" s="214"/>
      <c r="AF49" s="24"/>
      <c r="AG49" s="24"/>
      <c r="AH49" s="106"/>
      <c r="AI49" s="143"/>
      <c r="AJ49" s="15"/>
    </row>
    <row r="50" spans="3:36" ht="18" customHeight="1" x14ac:dyDescent="0.2">
      <c r="C50" s="217"/>
      <c r="D50" s="208"/>
      <c r="E50" s="209"/>
      <c r="F50" s="206"/>
      <c r="G50" s="206"/>
      <c r="AD50" s="101"/>
      <c r="AE50" s="214"/>
      <c r="AF50" s="24"/>
      <c r="AG50" s="24"/>
      <c r="AH50" s="106"/>
      <c r="AI50" s="222"/>
      <c r="AJ50" s="15"/>
    </row>
    <row r="51" spans="3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3"/>
    </row>
    <row r="52" spans="3:36" ht="18" customHeight="1" thickTop="1" x14ac:dyDescent="0.2">
      <c r="AD52" s="101"/>
      <c r="AE52" s="214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4"/>
    </row>
    <row r="55" spans="3:36" ht="17.100000000000001" customHeight="1" x14ac:dyDescent="0.2">
      <c r="AD55" s="224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5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6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6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7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8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5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9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9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30"/>
      <c r="D84" s="24"/>
      <c r="R84" s="14"/>
      <c r="S84" s="14"/>
      <c r="T84" s="14"/>
      <c r="U84" s="14"/>
      <c r="AD84" s="224"/>
      <c r="AE84" s="213"/>
      <c r="AF84" s="24"/>
      <c r="AG84" s="24"/>
      <c r="AH84" s="24"/>
      <c r="AI84" s="143"/>
      <c r="AJ84" s="231"/>
    </row>
    <row r="85" spans="3:36" ht="15" customHeight="1" thickTop="1" x14ac:dyDescent="0.2">
      <c r="C85" s="228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4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2"/>
      <c r="R87" s="14"/>
      <c r="S87" s="14"/>
      <c r="T87" s="14"/>
      <c r="U87" s="14"/>
      <c r="AD87" s="233"/>
      <c r="AE87" s="234"/>
      <c r="AF87" s="150"/>
      <c r="AG87" s="150"/>
      <c r="AH87" s="150"/>
      <c r="AI87" s="235"/>
      <c r="AJ87" s="217"/>
    </row>
    <row r="88" spans="3:36" ht="24.9" customHeight="1" thickTop="1" x14ac:dyDescent="0.2">
      <c r="C88" s="229"/>
      <c r="D88" s="24"/>
      <c r="R88" s="14"/>
      <c r="S88" s="14"/>
      <c r="T88" s="14"/>
      <c r="U88" s="14"/>
      <c r="AD88" s="38"/>
      <c r="AJ88" s="217"/>
    </row>
    <row r="89" spans="3:36" ht="15" customHeight="1" x14ac:dyDescent="0.2">
      <c r="D89" s="128"/>
      <c r="E89" s="110"/>
      <c r="F89" s="2"/>
      <c r="G89" s="12"/>
      <c r="H89" s="236"/>
      <c r="I89" s="128"/>
      <c r="J89" s="24"/>
      <c r="K89" s="12"/>
      <c r="L89" s="236"/>
      <c r="M89" s="24"/>
      <c r="N89" s="24"/>
      <c r="O89" s="12"/>
      <c r="P89" s="236"/>
      <c r="Q89" s="24"/>
      <c r="R89" s="24"/>
      <c r="S89" s="101"/>
      <c r="T89" s="236"/>
      <c r="U89" s="24"/>
      <c r="V89" s="24"/>
      <c r="AD89" s="237"/>
      <c r="AJ89" s="217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7"/>
      <c r="AJ90" s="217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7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7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7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7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7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7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8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8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8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9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8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8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8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6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8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8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9"/>
      <c r="D134" s="241"/>
      <c r="E134" s="110"/>
      <c r="F134" s="2"/>
      <c r="G134" s="2"/>
      <c r="R134" s="14"/>
      <c r="S134" s="12"/>
      <c r="T134" s="24"/>
      <c r="U134" s="24"/>
      <c r="V134" s="24"/>
      <c r="X134" s="238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2"/>
      <c r="D135" s="128"/>
      <c r="E135" s="110"/>
      <c r="F135" s="2"/>
      <c r="G135" s="2"/>
      <c r="R135" s="14"/>
      <c r="S135" s="12"/>
      <c r="T135" s="24"/>
      <c r="U135" s="24"/>
      <c r="V135" s="24"/>
      <c r="X135" s="238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8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8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8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3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6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3"/>
      <c r="AG168" s="243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4"/>
      <c r="AB169" s="87"/>
      <c r="AC169" s="87"/>
      <c r="AD169" s="101"/>
      <c r="AE169" s="214"/>
      <c r="AF169" s="243"/>
      <c r="AG169" s="243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4"/>
      <c r="AB170" s="87"/>
      <c r="AC170" s="87"/>
      <c r="AD170" s="101"/>
      <c r="AE170" s="214"/>
      <c r="AF170" s="243"/>
      <c r="AG170" s="243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4"/>
      <c r="AB171" s="87"/>
      <c r="AC171" s="87"/>
      <c r="AD171" s="101"/>
      <c r="AE171" s="214"/>
      <c r="AF171" s="243"/>
      <c r="AG171" s="243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4"/>
      <c r="AB172" s="87"/>
      <c r="AC172" s="87"/>
      <c r="AD172" s="101"/>
      <c r="AE172" s="214"/>
      <c r="AF172" s="24"/>
      <c r="AG172" s="243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4"/>
      <c r="AB173" s="87"/>
      <c r="AC173" s="87"/>
      <c r="AD173" s="101"/>
      <c r="AE173" s="214"/>
      <c r="AF173" s="243"/>
      <c r="AG173" s="243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4"/>
      <c r="AB174" s="87"/>
      <c r="AC174" s="87"/>
      <c r="AD174" s="101"/>
      <c r="AE174" s="214"/>
      <c r="AF174" s="243"/>
      <c r="AG174" s="243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4"/>
      <c r="AB175" s="87"/>
      <c r="AC175" s="87"/>
      <c r="AD175" s="101"/>
      <c r="AE175" s="214"/>
      <c r="AF175" s="24"/>
      <c r="AG175" s="243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4"/>
      <c r="AB176" s="87"/>
      <c r="AC176" s="87"/>
      <c r="AD176" s="101"/>
      <c r="AE176" s="214"/>
      <c r="AF176" s="24"/>
      <c r="AG176" s="243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4"/>
      <c r="AB177" s="87"/>
      <c r="AC177" s="87"/>
      <c r="AD177" s="101"/>
      <c r="AE177" s="214"/>
      <c r="AF177" s="24"/>
      <c r="AG177" s="243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4"/>
      <c r="AB178" s="87"/>
      <c r="AC178" s="87"/>
      <c r="AD178" s="101"/>
      <c r="AE178" s="214"/>
      <c r="AF178" s="24"/>
      <c r="AG178" s="243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4"/>
      <c r="AB179" s="87"/>
      <c r="AC179" s="87"/>
      <c r="AD179" s="101"/>
      <c r="AE179" s="214"/>
      <c r="AF179" s="24"/>
      <c r="AG179" s="243"/>
      <c r="AH179" s="24"/>
      <c r="AI179" s="143"/>
      <c r="AJ179" s="104"/>
    </row>
    <row r="180" spans="2:36" ht="15" customHeight="1" x14ac:dyDescent="0.2">
      <c r="C180" s="229"/>
      <c r="D180" s="241"/>
      <c r="E180" s="110"/>
      <c r="R180" s="12"/>
      <c r="S180" s="24"/>
      <c r="T180" s="24"/>
      <c r="U180" s="24"/>
      <c r="X180" s="87"/>
      <c r="Y180" s="87"/>
      <c r="Z180" s="87"/>
      <c r="AA180" s="244"/>
      <c r="AB180" s="87"/>
      <c r="AC180" s="87"/>
      <c r="AD180" s="101"/>
      <c r="AE180" s="214"/>
      <c r="AF180" s="24"/>
      <c r="AG180" s="243"/>
      <c r="AH180" s="24"/>
      <c r="AI180" s="143"/>
      <c r="AJ180" s="104"/>
    </row>
    <row r="181" spans="2:36" ht="15" customHeight="1" x14ac:dyDescent="0.2">
      <c r="C181" s="229"/>
      <c r="D181" s="241"/>
      <c r="E181" s="110"/>
      <c r="R181" s="12"/>
      <c r="S181" s="24"/>
      <c r="T181" s="24"/>
      <c r="U181" s="24"/>
      <c r="X181" s="87"/>
      <c r="Y181" s="87"/>
      <c r="Z181" s="87"/>
      <c r="AA181" s="244"/>
      <c r="AB181" s="87"/>
      <c r="AC181" s="87"/>
      <c r="AD181" s="101"/>
      <c r="AE181" s="214"/>
      <c r="AF181" s="24"/>
      <c r="AG181" s="243"/>
      <c r="AH181" s="24"/>
      <c r="AI181" s="143"/>
      <c r="AJ181" s="104"/>
    </row>
    <row r="182" spans="2:36" ht="15" customHeight="1" x14ac:dyDescent="0.2">
      <c r="C182" s="229"/>
      <c r="D182" s="241"/>
      <c r="E182" s="110"/>
      <c r="R182" s="12"/>
      <c r="S182" s="24"/>
      <c r="T182" s="24"/>
      <c r="U182" s="24"/>
      <c r="X182" s="87"/>
      <c r="Y182" s="87"/>
      <c r="Z182" s="87"/>
      <c r="AA182" s="244"/>
      <c r="AB182" s="87"/>
      <c r="AC182" s="87"/>
      <c r="AD182" s="101"/>
      <c r="AE182" s="214"/>
      <c r="AF182" s="24"/>
      <c r="AG182" s="243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4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4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4"/>
      <c r="AB185" s="87"/>
      <c r="AC185" s="87"/>
      <c r="AD185" s="101"/>
      <c r="AE185" s="214"/>
      <c r="AF185" s="24"/>
      <c r="AG185" s="243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4"/>
      <c r="AB186" s="87"/>
      <c r="AC186" s="87"/>
      <c r="AD186" s="101"/>
      <c r="AE186" s="214"/>
      <c r="AF186" s="24"/>
      <c r="AG186" s="243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4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4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4"/>
      <c r="AB189" s="87"/>
      <c r="AC189" s="87"/>
      <c r="AD189" s="101"/>
      <c r="AE189" s="214"/>
      <c r="AF189" s="243"/>
      <c r="AG189" s="243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4"/>
      <c r="AB190" s="87"/>
      <c r="AC190" s="87"/>
      <c r="AD190" s="101"/>
      <c r="AE190" s="214"/>
      <c r="AF190" s="243"/>
      <c r="AG190" s="243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4"/>
      <c r="AB191" s="87"/>
      <c r="AC191" s="87"/>
      <c r="AD191" s="101"/>
      <c r="AE191" s="214"/>
      <c r="AF191" s="243"/>
      <c r="AG191" s="243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4"/>
      <c r="AB192" s="87"/>
      <c r="AC192" s="87"/>
      <c r="AD192" s="101"/>
      <c r="AE192" s="214"/>
      <c r="AF192" s="243"/>
      <c r="AG192" s="243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4"/>
      <c r="AB193" s="87"/>
      <c r="AC193" s="87"/>
      <c r="AD193" s="101"/>
      <c r="AE193" s="214"/>
      <c r="AF193" s="24"/>
      <c r="AG193" s="243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4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4"/>
      <c r="AB195" s="87"/>
      <c r="AC195" s="87"/>
      <c r="AD195" s="101"/>
      <c r="AE195" s="214"/>
      <c r="AF195" s="243"/>
      <c r="AG195" s="243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4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4"/>
      <c r="AB197" s="87"/>
      <c r="AC197" s="87"/>
      <c r="AD197" s="101"/>
      <c r="AE197" s="214"/>
      <c r="AF197" s="243"/>
      <c r="AG197" s="243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3"/>
      <c r="AG199" s="243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3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3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3"/>
      <c r="AG202" s="243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3"/>
      <c r="AG203" s="243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3"/>
      <c r="AG204" s="243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6"/>
      <c r="T207" s="24"/>
      <c r="U207" s="24"/>
      <c r="AD207" s="101"/>
      <c r="AE207" s="214"/>
      <c r="AF207" s="243"/>
      <c r="AG207" s="243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3"/>
      <c r="AG208" s="243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3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3"/>
      <c r="AG210" s="243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3"/>
      <c r="AG211" s="243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3"/>
      <c r="AG212" s="243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3"/>
      <c r="AG213" s="243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3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1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1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1"/>
      <c r="AG217" s="241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5"/>
      <c r="AG218" s="245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5"/>
      <c r="AG219" s="245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5"/>
      <c r="AG220" s="245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5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3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3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3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1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1"/>
      <c r="AG226" s="241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1"/>
      <c r="AG227" s="241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1"/>
      <c r="AG228" s="241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1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1"/>
      <c r="AG230" s="245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1"/>
      <c r="AG231" s="245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1"/>
      <c r="AG232" s="245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3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1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1"/>
      <c r="AG239" s="246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1"/>
      <c r="AG240" s="246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1"/>
      <c r="AG241" s="246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1"/>
      <c r="AG242" s="245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1"/>
      <c r="AG243" s="246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1"/>
      <c r="AG244" s="245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1"/>
      <c r="AG245" s="245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3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7"/>
      <c r="AG247" s="248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7"/>
      <c r="AG248" s="247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9"/>
      <c r="AG249" s="246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9"/>
      <c r="AG250" s="246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7"/>
      <c r="AG251" s="247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3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7"/>
      <c r="AG255" s="245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7"/>
      <c r="AG256" s="247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9"/>
      <c r="AG257" s="246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7"/>
      <c r="AG258" s="247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3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9"/>
      <c r="AG263" s="248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7"/>
      <c r="AG264" s="247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7"/>
      <c r="AG265" s="247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3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3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3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3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3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9"/>
      <c r="AG271" s="245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9"/>
      <c r="AG272" s="247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7"/>
      <c r="AG273" s="247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3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3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3"/>
      <c r="AG276" s="243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9"/>
      <c r="AG278" s="248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9"/>
      <c r="AG279" s="246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9"/>
      <c r="AG280" s="246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3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3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3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4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4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43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1" workbookViewId="3">
      <selection activeCell="A28" sqref="A28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>
        <v>18</v>
      </c>
      <c r="E8" s="11"/>
      <c r="F8" s="25">
        <f>+E8+C8-D8-B8</f>
        <v>-18</v>
      </c>
    </row>
    <row r="9" spans="1:6" x14ac:dyDescent="0.25">
      <c r="A9" s="10">
        <v>2</v>
      </c>
      <c r="B9" s="11"/>
      <c r="C9" s="11"/>
      <c r="D9" s="11">
        <v>7</v>
      </c>
      <c r="E9" s="11"/>
      <c r="F9" s="25">
        <f t="shared" ref="F9:F38" si="0">+E9+C9-D9-B9</f>
        <v>-7</v>
      </c>
    </row>
    <row r="10" spans="1:6" x14ac:dyDescent="0.25">
      <c r="A10" s="10">
        <v>3</v>
      </c>
      <c r="B10" s="11"/>
      <c r="C10" s="11"/>
      <c r="D10" s="11">
        <v>20</v>
      </c>
      <c r="E10" s="11"/>
      <c r="F10" s="25">
        <f t="shared" si="0"/>
        <v>-20</v>
      </c>
    </row>
    <row r="11" spans="1:6" x14ac:dyDescent="0.25">
      <c r="A11" s="10">
        <v>4</v>
      </c>
      <c r="B11" s="11"/>
      <c r="C11" s="11"/>
      <c r="D11" s="11">
        <v>27</v>
      </c>
      <c r="E11" s="11"/>
      <c r="F11" s="25">
        <f t="shared" si="0"/>
        <v>-27</v>
      </c>
    </row>
    <row r="12" spans="1:6" x14ac:dyDescent="0.25">
      <c r="A12" s="10">
        <v>5</v>
      </c>
      <c r="B12" s="11"/>
      <c r="C12" s="11"/>
      <c r="D12" s="11">
        <v>27</v>
      </c>
      <c r="E12" s="11"/>
      <c r="F12" s="25">
        <f t="shared" si="0"/>
        <v>-27</v>
      </c>
    </row>
    <row r="13" spans="1:6" x14ac:dyDescent="0.25">
      <c r="A13" s="10">
        <v>6</v>
      </c>
      <c r="B13" s="11"/>
      <c r="C13" s="11"/>
      <c r="D13" s="11">
        <v>26</v>
      </c>
      <c r="E13" s="11"/>
      <c r="F13" s="25">
        <f t="shared" si="0"/>
        <v>-26</v>
      </c>
    </row>
    <row r="14" spans="1:6" x14ac:dyDescent="0.25">
      <c r="A14" s="10">
        <v>7</v>
      </c>
      <c r="B14" s="11"/>
      <c r="C14" s="11"/>
      <c r="D14" s="11">
        <v>25</v>
      </c>
      <c r="E14" s="11"/>
      <c r="F14" s="25">
        <f t="shared" si="0"/>
        <v>-25</v>
      </c>
    </row>
    <row r="15" spans="1:6" x14ac:dyDescent="0.25">
      <c r="A15" s="10">
        <v>8</v>
      </c>
      <c r="B15" s="11"/>
      <c r="C15" s="11"/>
      <c r="D15" s="11">
        <v>26</v>
      </c>
      <c r="E15" s="11"/>
      <c r="F15" s="25">
        <f t="shared" si="0"/>
        <v>-26</v>
      </c>
    </row>
    <row r="16" spans="1:6" x14ac:dyDescent="0.25">
      <c r="A16" s="10">
        <v>9</v>
      </c>
      <c r="B16" s="11"/>
      <c r="C16" s="11"/>
      <c r="D16" s="11">
        <v>29</v>
      </c>
      <c r="E16" s="11"/>
      <c r="F16" s="25">
        <f t="shared" si="0"/>
        <v>-29</v>
      </c>
    </row>
    <row r="17" spans="1:10" x14ac:dyDescent="0.25">
      <c r="A17" s="10">
        <v>10</v>
      </c>
      <c r="B17" s="11"/>
      <c r="C17" s="11"/>
      <c r="D17" s="11">
        <v>32</v>
      </c>
      <c r="E17" s="11"/>
      <c r="F17" s="25">
        <f t="shared" si="0"/>
        <v>-32</v>
      </c>
      <c r="J17" s="344"/>
    </row>
    <row r="18" spans="1:10" x14ac:dyDescent="0.25">
      <c r="A18" s="10">
        <v>11</v>
      </c>
      <c r="B18" s="11"/>
      <c r="C18" s="11"/>
      <c r="D18" s="11">
        <v>31</v>
      </c>
      <c r="E18" s="11"/>
      <c r="F18" s="25">
        <f t="shared" si="0"/>
        <v>-31</v>
      </c>
      <c r="J18" s="32"/>
    </row>
    <row r="19" spans="1:10" x14ac:dyDescent="0.25">
      <c r="A19" s="10">
        <v>12</v>
      </c>
      <c r="B19" s="11"/>
      <c r="C19" s="11"/>
      <c r="D19" s="11">
        <v>27</v>
      </c>
      <c r="E19" s="11"/>
      <c r="F19" s="25">
        <f t="shared" si="0"/>
        <v>-27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>
        <v>8</v>
      </c>
      <c r="E21" s="11"/>
      <c r="F21" s="25">
        <f t="shared" si="0"/>
        <v>-8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303</v>
      </c>
      <c r="E39" s="11">
        <f>SUM(E8:E38)</f>
        <v>0</v>
      </c>
      <c r="F39" s="25">
        <f>SUM(F8:F38)</f>
        <v>-303</v>
      </c>
    </row>
    <row r="40" spans="1:6" x14ac:dyDescent="0.25">
      <c r="A40" s="26"/>
      <c r="C40" s="14"/>
      <c r="F40" s="261">
        <f>+summary!H4</f>
        <v>2.76</v>
      </c>
    </row>
    <row r="41" spans="1:6" x14ac:dyDescent="0.25">
      <c r="F41" s="138">
        <f>+F40*F39</f>
        <v>-836.28</v>
      </c>
    </row>
    <row r="42" spans="1:6" x14ac:dyDescent="0.25">
      <c r="A42" s="57">
        <v>37072</v>
      </c>
      <c r="C42" s="15"/>
      <c r="F42" s="375">
        <v>-13969.77</v>
      </c>
    </row>
    <row r="43" spans="1:6" x14ac:dyDescent="0.25">
      <c r="A43" s="57">
        <v>37100</v>
      </c>
      <c r="C43" s="48"/>
      <c r="F43" s="138">
        <f>+F42+F41</f>
        <v>-14806.050000000001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43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25" workbookViewId="3">
      <selection activeCell="A42" sqref="A42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0</v>
      </c>
      <c r="C8" s="11">
        <v>0</v>
      </c>
      <c r="D8" s="25">
        <f>+C8-B8</f>
        <v>0</v>
      </c>
    </row>
    <row r="9" spans="1:4" x14ac:dyDescent="0.25">
      <c r="A9" s="10">
        <v>2</v>
      </c>
      <c r="B9" s="11">
        <v>0</v>
      </c>
      <c r="C9" s="11">
        <v>0</v>
      </c>
      <c r="D9" s="25">
        <f t="shared" ref="D9:D38" si="0">+C9-B9</f>
        <v>0</v>
      </c>
    </row>
    <row r="10" spans="1:4" x14ac:dyDescent="0.25">
      <c r="A10" s="10">
        <v>3</v>
      </c>
      <c r="B10" s="11">
        <v>0</v>
      </c>
      <c r="C10" s="11">
        <v>0</v>
      </c>
      <c r="D10" s="25">
        <f t="shared" si="0"/>
        <v>0</v>
      </c>
    </row>
    <row r="11" spans="1:4" x14ac:dyDescent="0.25">
      <c r="A11" s="10">
        <v>4</v>
      </c>
      <c r="B11" s="11"/>
      <c r="C11" s="11"/>
      <c r="D11" s="25">
        <f t="shared" si="0"/>
        <v>0</v>
      </c>
    </row>
    <row r="12" spans="1:4" x14ac:dyDescent="0.25">
      <c r="A12" s="10">
        <v>5</v>
      </c>
      <c r="B12" s="11"/>
      <c r="C12" s="11"/>
      <c r="D12" s="25">
        <f t="shared" si="0"/>
        <v>0</v>
      </c>
    </row>
    <row r="13" spans="1:4" x14ac:dyDescent="0.25">
      <c r="A13" s="10">
        <v>6</v>
      </c>
      <c r="B13" s="11"/>
      <c r="C13" s="11"/>
      <c r="D13" s="25">
        <f t="shared" si="0"/>
        <v>0</v>
      </c>
    </row>
    <row r="14" spans="1:4" x14ac:dyDescent="0.25">
      <c r="A14" s="10">
        <v>7</v>
      </c>
      <c r="B14" s="11"/>
      <c r="C14" s="11"/>
      <c r="D14" s="25">
        <f t="shared" si="0"/>
        <v>0</v>
      </c>
    </row>
    <row r="15" spans="1:4" x14ac:dyDescent="0.25">
      <c r="A15" s="10">
        <v>8</v>
      </c>
      <c r="B15" s="11"/>
      <c r="C15" s="11"/>
      <c r="D15" s="25">
        <f t="shared" si="0"/>
        <v>0</v>
      </c>
    </row>
    <row r="16" spans="1:4" x14ac:dyDescent="0.25">
      <c r="A16" s="10">
        <v>9</v>
      </c>
      <c r="B16" s="11"/>
      <c r="C16" s="11"/>
      <c r="D16" s="25">
        <f t="shared" si="0"/>
        <v>0</v>
      </c>
    </row>
    <row r="17" spans="1:4" x14ac:dyDescent="0.25">
      <c r="A17" s="10">
        <v>10</v>
      </c>
      <c r="B17" s="11"/>
      <c r="C17" s="11"/>
      <c r="D17" s="25">
        <f t="shared" si="0"/>
        <v>0</v>
      </c>
    </row>
    <row r="18" spans="1:4" x14ac:dyDescent="0.25">
      <c r="A18" s="10">
        <v>11</v>
      </c>
      <c r="B18" s="11"/>
      <c r="C18" s="11"/>
      <c r="D18" s="25">
        <f t="shared" si="0"/>
        <v>0</v>
      </c>
    </row>
    <row r="19" spans="1:4" x14ac:dyDescent="0.25">
      <c r="A19" s="10">
        <v>12</v>
      </c>
      <c r="B19" s="11"/>
      <c r="C19" s="11"/>
      <c r="D19" s="25">
        <f t="shared" si="0"/>
        <v>0</v>
      </c>
    </row>
    <row r="20" spans="1:4" x14ac:dyDescent="0.25">
      <c r="A20" s="10">
        <v>13</v>
      </c>
      <c r="B20" s="11"/>
      <c r="C20" s="11"/>
      <c r="D20" s="25">
        <f t="shared" si="0"/>
        <v>0</v>
      </c>
    </row>
    <row r="21" spans="1:4" x14ac:dyDescent="0.25">
      <c r="A21" s="10">
        <v>14</v>
      </c>
      <c r="B21" s="11"/>
      <c r="C21" s="11"/>
      <c r="D21" s="25">
        <f t="shared" si="0"/>
        <v>0</v>
      </c>
    </row>
    <row r="22" spans="1:4" x14ac:dyDescent="0.25">
      <c r="A22" s="10">
        <v>15</v>
      </c>
      <c r="B22" s="11"/>
      <c r="C22" s="11"/>
      <c r="D22" s="25">
        <f t="shared" si="0"/>
        <v>0</v>
      </c>
    </row>
    <row r="23" spans="1:4" x14ac:dyDescent="0.25">
      <c r="A23" s="10">
        <v>16</v>
      </c>
      <c r="B23" s="11"/>
      <c r="C23" s="11"/>
      <c r="D23" s="25">
        <f t="shared" si="0"/>
        <v>0</v>
      </c>
    </row>
    <row r="24" spans="1:4" x14ac:dyDescent="0.25">
      <c r="A24" s="10">
        <v>17</v>
      </c>
      <c r="B24" s="11"/>
      <c r="C24" s="11"/>
      <c r="D24" s="25">
        <f t="shared" si="0"/>
        <v>0</v>
      </c>
    </row>
    <row r="25" spans="1:4" x14ac:dyDescent="0.25">
      <c r="A25" s="10">
        <v>18</v>
      </c>
      <c r="B25" s="11"/>
      <c r="C25" s="11"/>
      <c r="D25" s="25">
        <f t="shared" si="0"/>
        <v>0</v>
      </c>
    </row>
    <row r="26" spans="1:4" x14ac:dyDescent="0.25">
      <c r="A26" s="10">
        <v>19</v>
      </c>
      <c r="B26" s="11"/>
      <c r="C26" s="11"/>
      <c r="D26" s="25">
        <f t="shared" si="0"/>
        <v>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0</v>
      </c>
      <c r="C39" s="11">
        <f>SUM(C8:C38)</f>
        <v>0</v>
      </c>
      <c r="D39" s="25">
        <f>SUM(D8:D38)</f>
        <v>0</v>
      </c>
    </row>
    <row r="40" spans="1:4" x14ac:dyDescent="0.25">
      <c r="A40" s="26"/>
      <c r="C40" s="14"/>
      <c r="D40" s="261">
        <f>+summary!H4</f>
        <v>2.76</v>
      </c>
    </row>
    <row r="41" spans="1:4" x14ac:dyDescent="0.25">
      <c r="D41" s="138">
        <f>+D40*D39</f>
        <v>0</v>
      </c>
    </row>
    <row r="42" spans="1:4" x14ac:dyDescent="0.25">
      <c r="A42" s="57">
        <v>37072</v>
      </c>
      <c r="C42" s="15"/>
      <c r="D42" s="375">
        <v>326755</v>
      </c>
    </row>
    <row r="43" spans="1:4" x14ac:dyDescent="0.25">
      <c r="A43" s="57">
        <v>37100</v>
      </c>
      <c r="C43" s="48"/>
      <c r="D43" s="138">
        <f>+D42+D41</f>
        <v>326755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/>
    <sheetView topLeftCell="A26" workbookViewId="2">
      <selection activeCell="D34" sqref="D34"/>
    </sheetView>
    <sheetView topLeftCell="A24" workbookViewId="3">
      <selection activeCell="C38" sqref="C38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135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-41811</v>
      </c>
      <c r="C6" s="11">
        <v>-40000</v>
      </c>
      <c r="D6" s="25">
        <f>+C6-B6</f>
        <v>1811</v>
      </c>
    </row>
    <row r="7" spans="1:4" x14ac:dyDescent="0.25">
      <c r="A7" s="10">
        <v>2</v>
      </c>
      <c r="B7" s="11">
        <v>-75942</v>
      </c>
      <c r="C7" s="11">
        <v>-40000</v>
      </c>
      <c r="D7" s="25">
        <f t="shared" ref="D7:D36" si="0">+C7-B7</f>
        <v>35942</v>
      </c>
    </row>
    <row r="8" spans="1:4" x14ac:dyDescent="0.25">
      <c r="A8" s="10">
        <v>3</v>
      </c>
      <c r="B8" s="11">
        <v>-74085</v>
      </c>
      <c r="C8" s="11">
        <v>-50000</v>
      </c>
      <c r="D8" s="25">
        <f t="shared" si="0"/>
        <v>24085</v>
      </c>
    </row>
    <row r="9" spans="1:4" x14ac:dyDescent="0.25">
      <c r="A9" s="10">
        <v>4</v>
      </c>
      <c r="B9" s="11">
        <v>-68369</v>
      </c>
      <c r="C9" s="11">
        <v>-65300</v>
      </c>
      <c r="D9" s="25">
        <f t="shared" si="0"/>
        <v>3069</v>
      </c>
    </row>
    <row r="10" spans="1:4" x14ac:dyDescent="0.25">
      <c r="A10" s="10">
        <v>5</v>
      </c>
      <c r="B10" s="11">
        <v>-74959</v>
      </c>
      <c r="C10" s="11">
        <v>-64624</v>
      </c>
      <c r="D10" s="25">
        <f t="shared" si="0"/>
        <v>10335</v>
      </c>
    </row>
    <row r="11" spans="1:4" x14ac:dyDescent="0.25">
      <c r="A11" s="10">
        <v>6</v>
      </c>
      <c r="B11" s="11">
        <v>-25915</v>
      </c>
      <c r="C11" s="11">
        <v>-25000</v>
      </c>
      <c r="D11" s="25">
        <f t="shared" si="0"/>
        <v>915</v>
      </c>
    </row>
    <row r="12" spans="1:4" x14ac:dyDescent="0.25">
      <c r="A12" s="10">
        <v>7</v>
      </c>
      <c r="B12" s="11">
        <v>-77538</v>
      </c>
      <c r="C12" s="11">
        <v>-65300</v>
      </c>
      <c r="D12" s="25">
        <f t="shared" si="0"/>
        <v>12238</v>
      </c>
    </row>
    <row r="13" spans="1:4" x14ac:dyDescent="0.25">
      <c r="A13" s="10">
        <v>8</v>
      </c>
      <c r="B13" s="11">
        <v>-77369</v>
      </c>
      <c r="C13" s="11">
        <v>-65294</v>
      </c>
      <c r="D13" s="25">
        <f t="shared" si="0"/>
        <v>12075</v>
      </c>
    </row>
    <row r="14" spans="1:4" x14ac:dyDescent="0.25">
      <c r="A14" s="10">
        <v>9</v>
      </c>
      <c r="B14" s="11">
        <v>-75135</v>
      </c>
      <c r="C14" s="11">
        <v>-65300</v>
      </c>
      <c r="D14" s="25">
        <f t="shared" si="0"/>
        <v>9835</v>
      </c>
    </row>
    <row r="15" spans="1:4" x14ac:dyDescent="0.25">
      <c r="A15" s="10">
        <v>10</v>
      </c>
      <c r="B15" s="11">
        <v>-74053</v>
      </c>
      <c r="C15" s="11">
        <v>-65300</v>
      </c>
      <c r="D15" s="25">
        <f t="shared" si="0"/>
        <v>8753</v>
      </c>
    </row>
    <row r="16" spans="1:4" x14ac:dyDescent="0.25">
      <c r="A16" s="10">
        <v>11</v>
      </c>
      <c r="B16" s="11">
        <v>-59911</v>
      </c>
      <c r="C16" s="11">
        <v>-65300</v>
      </c>
      <c r="D16" s="25">
        <f t="shared" si="0"/>
        <v>-5389</v>
      </c>
    </row>
    <row r="17" spans="1:4" x14ac:dyDescent="0.25">
      <c r="A17" s="10">
        <v>12</v>
      </c>
      <c r="B17" s="11">
        <v>-39861</v>
      </c>
      <c r="C17" s="11">
        <v>-65300</v>
      </c>
      <c r="D17" s="25">
        <f t="shared" si="0"/>
        <v>-25439</v>
      </c>
    </row>
    <row r="18" spans="1:4" x14ac:dyDescent="0.25">
      <c r="A18" s="10">
        <v>13</v>
      </c>
      <c r="B18" s="11">
        <v>-40819</v>
      </c>
      <c r="C18" s="11">
        <v>-50000</v>
      </c>
      <c r="D18" s="25">
        <f t="shared" si="0"/>
        <v>-9181</v>
      </c>
    </row>
    <row r="19" spans="1:4" x14ac:dyDescent="0.25">
      <c r="A19" s="10">
        <v>14</v>
      </c>
      <c r="B19" s="11">
        <v>-40813</v>
      </c>
      <c r="C19" s="11">
        <v>-48975</v>
      </c>
      <c r="D19" s="25">
        <f t="shared" si="0"/>
        <v>-8162</v>
      </c>
    </row>
    <row r="20" spans="1:4" x14ac:dyDescent="0.25">
      <c r="A20" s="10">
        <v>15</v>
      </c>
      <c r="B20" s="11">
        <v>-66606</v>
      </c>
      <c r="C20" s="11">
        <v>-30000</v>
      </c>
      <c r="D20" s="25">
        <f t="shared" si="0"/>
        <v>36606</v>
      </c>
    </row>
    <row r="21" spans="1:4" x14ac:dyDescent="0.25">
      <c r="A21" s="10">
        <v>16</v>
      </c>
      <c r="B21" s="11">
        <v>-67806</v>
      </c>
      <c r="C21" s="11">
        <v>-53655</v>
      </c>
      <c r="D21" s="25">
        <f t="shared" si="0"/>
        <v>14151</v>
      </c>
    </row>
    <row r="22" spans="1:4" x14ac:dyDescent="0.25">
      <c r="A22" s="10">
        <v>17</v>
      </c>
      <c r="B22" s="11">
        <v>-73222</v>
      </c>
      <c r="C22" s="11">
        <v>-50000</v>
      </c>
      <c r="D22" s="25">
        <f t="shared" si="0"/>
        <v>23222</v>
      </c>
    </row>
    <row r="23" spans="1:4" x14ac:dyDescent="0.25">
      <c r="A23" s="10">
        <v>18</v>
      </c>
      <c r="B23" s="11">
        <v>-62022</v>
      </c>
      <c r="C23" s="11">
        <v>-68300</v>
      </c>
      <c r="D23" s="25">
        <f t="shared" si="0"/>
        <v>-6278</v>
      </c>
    </row>
    <row r="24" spans="1:4" x14ac:dyDescent="0.25">
      <c r="A24" s="10">
        <v>19</v>
      </c>
      <c r="B24" s="11">
        <v>-68517</v>
      </c>
      <c r="C24" s="11">
        <v>-69300</v>
      </c>
      <c r="D24" s="25">
        <f t="shared" si="0"/>
        <v>-783</v>
      </c>
    </row>
    <row r="25" spans="1:4" x14ac:dyDescent="0.25">
      <c r="A25" s="10">
        <v>20</v>
      </c>
      <c r="B25" s="11">
        <v>-66144</v>
      </c>
      <c r="C25" s="11">
        <v>-67936</v>
      </c>
      <c r="D25" s="25">
        <f t="shared" si="0"/>
        <v>-1792</v>
      </c>
    </row>
    <row r="26" spans="1:4" x14ac:dyDescent="0.25">
      <c r="A26" s="10">
        <v>21</v>
      </c>
      <c r="B26" s="11">
        <v>-75765</v>
      </c>
      <c r="C26" s="11">
        <v>-75000</v>
      </c>
      <c r="D26" s="25">
        <f t="shared" si="0"/>
        <v>765</v>
      </c>
    </row>
    <row r="27" spans="1:4" x14ac:dyDescent="0.25">
      <c r="A27" s="10">
        <v>22</v>
      </c>
      <c r="B27" s="11">
        <v>-79070</v>
      </c>
      <c r="C27" s="11">
        <v>-73105</v>
      </c>
      <c r="D27" s="25">
        <f t="shared" si="0"/>
        <v>5965</v>
      </c>
    </row>
    <row r="28" spans="1:4" x14ac:dyDescent="0.25">
      <c r="A28" s="10">
        <v>23</v>
      </c>
      <c r="B28" s="11">
        <v>-79981</v>
      </c>
      <c r="C28" s="11">
        <v>-79408</v>
      </c>
      <c r="D28" s="25">
        <f t="shared" si="0"/>
        <v>573</v>
      </c>
    </row>
    <row r="29" spans="1:4" x14ac:dyDescent="0.25">
      <c r="A29" s="10">
        <v>24</v>
      </c>
      <c r="B29" s="11">
        <v>-55032</v>
      </c>
      <c r="C29" s="11">
        <v>-45000</v>
      </c>
      <c r="D29" s="25">
        <f t="shared" si="0"/>
        <v>10032</v>
      </c>
    </row>
    <row r="30" spans="1:4" x14ac:dyDescent="0.25">
      <c r="A30" s="10">
        <v>25</v>
      </c>
      <c r="B30" s="11">
        <v>-68673</v>
      </c>
      <c r="C30" s="11">
        <v>-68300</v>
      </c>
      <c r="D30" s="25">
        <f t="shared" si="0"/>
        <v>373</v>
      </c>
    </row>
    <row r="31" spans="1:4" x14ac:dyDescent="0.25">
      <c r="A31" s="10">
        <v>26</v>
      </c>
      <c r="B31" s="11">
        <v>-79858</v>
      </c>
      <c r="C31" s="11">
        <v>-65300</v>
      </c>
      <c r="D31" s="25">
        <f t="shared" si="0"/>
        <v>14558</v>
      </c>
    </row>
    <row r="32" spans="1:4" x14ac:dyDescent="0.25">
      <c r="A32" s="10">
        <v>27</v>
      </c>
      <c r="B32" s="11">
        <v>-76479</v>
      </c>
      <c r="C32" s="11">
        <v>-83874</v>
      </c>
      <c r="D32" s="25">
        <f t="shared" si="0"/>
        <v>-7395</v>
      </c>
    </row>
    <row r="33" spans="1:4" x14ac:dyDescent="0.25">
      <c r="A33" s="10">
        <v>28</v>
      </c>
      <c r="B33" s="11">
        <v>-75348</v>
      </c>
      <c r="C33" s="11">
        <v>-84300</v>
      </c>
      <c r="D33" s="25">
        <f t="shared" si="0"/>
        <v>-8952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-1841103</v>
      </c>
      <c r="C37" s="11">
        <f>SUM(C6:C36)</f>
        <v>-1689171</v>
      </c>
      <c r="D37" s="25">
        <f>SUM(D6:D36)</f>
        <v>151932</v>
      </c>
    </row>
    <row r="38" spans="1:4" x14ac:dyDescent="0.25">
      <c r="A38" s="26"/>
      <c r="C38" s="14"/>
      <c r="D38" s="349">
        <f>+summary!H4</f>
        <v>2.76</v>
      </c>
    </row>
    <row r="39" spans="1:4" x14ac:dyDescent="0.25">
      <c r="D39" s="138">
        <f>+D38*D37</f>
        <v>419332.31999999995</v>
      </c>
    </row>
    <row r="40" spans="1:4" x14ac:dyDescent="0.25">
      <c r="A40" s="57">
        <v>37072</v>
      </c>
      <c r="C40" s="15"/>
      <c r="D40" s="375">
        <v>-372693.65</v>
      </c>
    </row>
    <row r="41" spans="1:4" x14ac:dyDescent="0.25">
      <c r="A41" s="57">
        <v>37100</v>
      </c>
      <c r="C41" s="48"/>
      <c r="D41" s="138">
        <f>+D40+D39</f>
        <v>46638.669999999925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topLeftCell="A26" workbookViewId="2">
      <selection activeCell="D41" sqref="D41"/>
    </sheetView>
    <sheetView topLeftCell="A22" workbookViewId="3">
      <selection activeCell="C30" sqref="C30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41391</v>
      </c>
      <c r="C6" s="11">
        <v>40000</v>
      </c>
      <c r="D6" s="25">
        <f>+C6-B6</f>
        <v>-1391</v>
      </c>
    </row>
    <row r="7" spans="1:4" x14ac:dyDescent="0.25">
      <c r="A7" s="10">
        <v>2</v>
      </c>
      <c r="B7" s="11">
        <v>45177</v>
      </c>
      <c r="C7" s="11">
        <v>42000</v>
      </c>
      <c r="D7" s="25">
        <f t="shared" ref="D7:D36" si="0">+C7-B7</f>
        <v>-3177</v>
      </c>
    </row>
    <row r="8" spans="1:4" x14ac:dyDescent="0.25">
      <c r="A8" s="10">
        <v>3</v>
      </c>
      <c r="B8" s="11">
        <v>44413</v>
      </c>
      <c r="C8" s="11">
        <v>42000</v>
      </c>
      <c r="D8" s="25">
        <f t="shared" si="0"/>
        <v>-2413</v>
      </c>
    </row>
    <row r="9" spans="1:4" x14ac:dyDescent="0.25">
      <c r="A9" s="10">
        <v>4</v>
      </c>
      <c r="B9" s="11">
        <v>42918</v>
      </c>
      <c r="C9" s="11">
        <v>40464</v>
      </c>
      <c r="D9" s="25">
        <f t="shared" si="0"/>
        <v>-2454</v>
      </c>
    </row>
    <row r="10" spans="1:4" x14ac:dyDescent="0.25">
      <c r="A10" s="10">
        <v>5</v>
      </c>
      <c r="B10" s="11">
        <v>41645</v>
      </c>
      <c r="C10" s="11">
        <v>40500</v>
      </c>
      <c r="D10" s="25">
        <f t="shared" si="0"/>
        <v>-1145</v>
      </c>
    </row>
    <row r="11" spans="1:4" x14ac:dyDescent="0.25">
      <c r="A11" s="10">
        <v>6</v>
      </c>
      <c r="B11" s="108">
        <v>41817</v>
      </c>
      <c r="C11" s="11">
        <v>38926</v>
      </c>
      <c r="D11" s="25">
        <f t="shared" si="0"/>
        <v>-2891</v>
      </c>
    </row>
    <row r="12" spans="1:4" x14ac:dyDescent="0.25">
      <c r="A12" s="10">
        <v>7</v>
      </c>
      <c r="B12" s="108">
        <v>43253</v>
      </c>
      <c r="C12" s="11">
        <v>39977</v>
      </c>
      <c r="D12" s="25">
        <f t="shared" si="0"/>
        <v>-3276</v>
      </c>
    </row>
    <row r="13" spans="1:4" x14ac:dyDescent="0.25">
      <c r="A13" s="10">
        <v>8</v>
      </c>
      <c r="B13" s="11">
        <v>41966</v>
      </c>
      <c r="C13" s="11">
        <v>40000</v>
      </c>
      <c r="D13" s="25">
        <f t="shared" si="0"/>
        <v>-1966</v>
      </c>
    </row>
    <row r="14" spans="1:4" x14ac:dyDescent="0.25">
      <c r="A14" s="10">
        <v>9</v>
      </c>
      <c r="B14" s="11">
        <v>43196</v>
      </c>
      <c r="C14" s="11">
        <v>40000</v>
      </c>
      <c r="D14" s="25">
        <f t="shared" si="0"/>
        <v>-3196</v>
      </c>
    </row>
    <row r="15" spans="1:4" x14ac:dyDescent="0.25">
      <c r="A15" s="10">
        <v>10</v>
      </c>
      <c r="B15" s="108">
        <v>13372</v>
      </c>
      <c r="C15" s="11">
        <v>11000</v>
      </c>
      <c r="D15" s="25">
        <f t="shared" si="0"/>
        <v>-2372</v>
      </c>
    </row>
    <row r="16" spans="1:4" x14ac:dyDescent="0.25">
      <c r="A16" s="10">
        <v>11</v>
      </c>
      <c r="B16" s="11">
        <v>11783</v>
      </c>
      <c r="C16" s="11">
        <v>11000</v>
      </c>
      <c r="D16" s="25">
        <f t="shared" si="0"/>
        <v>-783</v>
      </c>
    </row>
    <row r="17" spans="1:4" x14ac:dyDescent="0.25">
      <c r="A17" s="10">
        <v>12</v>
      </c>
      <c r="B17" s="11">
        <v>38810</v>
      </c>
      <c r="C17" s="11">
        <v>26395</v>
      </c>
      <c r="D17" s="25">
        <f t="shared" si="0"/>
        <v>-12415</v>
      </c>
    </row>
    <row r="18" spans="1:4" x14ac:dyDescent="0.25">
      <c r="A18" s="10">
        <v>13</v>
      </c>
      <c r="B18" s="11">
        <v>36764</v>
      </c>
      <c r="C18" s="11">
        <v>33473</v>
      </c>
      <c r="D18" s="25">
        <f t="shared" si="0"/>
        <v>-3291</v>
      </c>
    </row>
    <row r="19" spans="1:4" x14ac:dyDescent="0.25">
      <c r="A19" s="10">
        <v>14</v>
      </c>
      <c r="B19" s="11">
        <v>39824</v>
      </c>
      <c r="C19" s="11">
        <v>38500</v>
      </c>
      <c r="D19" s="25">
        <f t="shared" si="0"/>
        <v>-1324</v>
      </c>
    </row>
    <row r="20" spans="1:4" x14ac:dyDescent="0.25">
      <c r="A20" s="10">
        <v>15</v>
      </c>
      <c r="B20" s="11">
        <v>39336</v>
      </c>
      <c r="C20" s="11">
        <v>37118</v>
      </c>
      <c r="D20" s="25">
        <f t="shared" si="0"/>
        <v>-2218</v>
      </c>
    </row>
    <row r="21" spans="1:4" x14ac:dyDescent="0.25">
      <c r="A21" s="10">
        <v>16</v>
      </c>
      <c r="B21" s="11">
        <v>38586</v>
      </c>
      <c r="C21" s="11">
        <v>38500</v>
      </c>
      <c r="D21" s="25">
        <f t="shared" si="0"/>
        <v>-86</v>
      </c>
    </row>
    <row r="22" spans="1:4" x14ac:dyDescent="0.25">
      <c r="A22" s="10">
        <v>17</v>
      </c>
      <c r="B22" s="11">
        <v>38586</v>
      </c>
      <c r="C22" s="11">
        <v>40000</v>
      </c>
      <c r="D22" s="25">
        <f t="shared" si="0"/>
        <v>1414</v>
      </c>
    </row>
    <row r="23" spans="1:4" x14ac:dyDescent="0.25">
      <c r="A23" s="10">
        <v>18</v>
      </c>
      <c r="B23" s="11">
        <v>37730</v>
      </c>
      <c r="C23" s="11">
        <v>39991</v>
      </c>
      <c r="D23" s="25">
        <f t="shared" si="0"/>
        <v>2261</v>
      </c>
    </row>
    <row r="24" spans="1:4" x14ac:dyDescent="0.25">
      <c r="A24" s="10">
        <v>19</v>
      </c>
      <c r="B24" s="11">
        <v>37263</v>
      </c>
      <c r="C24" s="11">
        <v>39788</v>
      </c>
      <c r="D24" s="25">
        <f t="shared" si="0"/>
        <v>2525</v>
      </c>
    </row>
    <row r="25" spans="1:4" x14ac:dyDescent="0.25">
      <c r="A25" s="10">
        <v>20</v>
      </c>
      <c r="B25" s="11">
        <v>34033</v>
      </c>
      <c r="C25" s="11">
        <v>38284</v>
      </c>
      <c r="D25" s="25">
        <f t="shared" si="0"/>
        <v>4251</v>
      </c>
    </row>
    <row r="26" spans="1:4" x14ac:dyDescent="0.25">
      <c r="A26" s="10">
        <v>21</v>
      </c>
      <c r="B26" s="11">
        <v>33585</v>
      </c>
      <c r="C26" s="11">
        <v>38783</v>
      </c>
      <c r="D26" s="25">
        <f t="shared" si="0"/>
        <v>5198</v>
      </c>
    </row>
    <row r="27" spans="1:4" x14ac:dyDescent="0.25">
      <c r="A27" s="10">
        <v>22</v>
      </c>
      <c r="B27" s="11">
        <v>33038</v>
      </c>
      <c r="C27" s="11">
        <v>37825</v>
      </c>
      <c r="D27" s="25">
        <f t="shared" si="0"/>
        <v>4787</v>
      </c>
    </row>
    <row r="28" spans="1:4" x14ac:dyDescent="0.25">
      <c r="A28" s="10">
        <v>23</v>
      </c>
      <c r="B28" s="11">
        <v>33967</v>
      </c>
      <c r="C28" s="11">
        <v>40001</v>
      </c>
      <c r="D28" s="25">
        <f t="shared" si="0"/>
        <v>6034</v>
      </c>
    </row>
    <row r="29" spans="1:4" x14ac:dyDescent="0.25">
      <c r="A29" s="10">
        <v>24</v>
      </c>
      <c r="B29" s="11">
        <v>33555</v>
      </c>
      <c r="C29" s="11">
        <v>31298</v>
      </c>
      <c r="D29" s="25">
        <f t="shared" si="0"/>
        <v>-2257</v>
      </c>
    </row>
    <row r="30" spans="1:4" x14ac:dyDescent="0.25">
      <c r="A30" s="10">
        <v>25</v>
      </c>
      <c r="B30" s="11">
        <v>40217</v>
      </c>
      <c r="C30" s="11">
        <v>39000</v>
      </c>
      <c r="D30" s="25">
        <f t="shared" si="0"/>
        <v>-1217</v>
      </c>
    </row>
    <row r="31" spans="1:4" x14ac:dyDescent="0.25">
      <c r="A31" s="10">
        <v>26</v>
      </c>
      <c r="B31" s="11">
        <v>41234</v>
      </c>
      <c r="C31" s="11">
        <v>39000</v>
      </c>
      <c r="D31" s="25">
        <f t="shared" si="0"/>
        <v>-2234</v>
      </c>
    </row>
    <row r="32" spans="1:4" x14ac:dyDescent="0.25">
      <c r="A32" s="10">
        <v>27</v>
      </c>
      <c r="B32" s="11">
        <v>39615</v>
      </c>
      <c r="C32" s="11">
        <v>38000</v>
      </c>
      <c r="D32" s="25">
        <f t="shared" si="0"/>
        <v>-1615</v>
      </c>
    </row>
    <row r="33" spans="1:4" x14ac:dyDescent="0.25">
      <c r="A33" s="10">
        <v>28</v>
      </c>
      <c r="B33" s="11">
        <v>30730</v>
      </c>
      <c r="C33" s="11">
        <v>37600</v>
      </c>
      <c r="D33" s="25">
        <f t="shared" si="0"/>
        <v>6870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1037804</v>
      </c>
      <c r="C37" s="11">
        <f>SUM(C6:C36)</f>
        <v>1019423</v>
      </c>
      <c r="D37" s="25">
        <f>SUM(D6:D36)</f>
        <v>-18381</v>
      </c>
    </row>
    <row r="38" spans="1:4" x14ac:dyDescent="0.25">
      <c r="A38" s="26"/>
      <c r="C38" s="14"/>
      <c r="D38" s="349">
        <f>+summary!H5</f>
        <v>2.93</v>
      </c>
    </row>
    <row r="39" spans="1:4" x14ac:dyDescent="0.25">
      <c r="D39" s="138">
        <f>+D38*D37</f>
        <v>-53856.33</v>
      </c>
    </row>
    <row r="40" spans="1:4" x14ac:dyDescent="0.25">
      <c r="A40" s="57">
        <v>37072</v>
      </c>
      <c r="C40" s="15"/>
      <c r="D40" s="375">
        <v>-47511.02</v>
      </c>
    </row>
    <row r="41" spans="1:4" x14ac:dyDescent="0.25">
      <c r="A41" s="57">
        <v>37100</v>
      </c>
      <c r="C41" s="48"/>
      <c r="D41" s="138">
        <f>+D40+D39</f>
        <v>-101367.35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19" workbookViewId="3">
      <selection activeCell="E32" sqref="E32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351698</v>
      </c>
      <c r="C4" s="11">
        <v>350476</v>
      </c>
      <c r="D4" s="11">
        <v>53117</v>
      </c>
      <c r="E4" s="11">
        <v>45924</v>
      </c>
      <c r="F4" s="11">
        <v>82042</v>
      </c>
      <c r="G4" s="11">
        <v>94042</v>
      </c>
      <c r="H4" s="11">
        <v>78203</v>
      </c>
      <c r="I4" s="11">
        <v>73803</v>
      </c>
      <c r="J4" s="11">
        <f t="shared" ref="J4:J34" si="0">+C4+E4+G4+I4-H4-F4-D4-B4</f>
        <v>-815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362354</v>
      </c>
      <c r="C5" s="11">
        <v>371662</v>
      </c>
      <c r="D5" s="11">
        <v>51911</v>
      </c>
      <c r="E5" s="11">
        <v>42633</v>
      </c>
      <c r="F5" s="11">
        <v>83617</v>
      </c>
      <c r="G5" s="11">
        <v>93854</v>
      </c>
      <c r="H5" s="11">
        <v>79048</v>
      </c>
      <c r="I5" s="11">
        <v>73052</v>
      </c>
      <c r="J5" s="11">
        <f t="shared" si="0"/>
        <v>4271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365025</v>
      </c>
      <c r="C6" s="11">
        <v>376259</v>
      </c>
      <c r="D6" s="11">
        <v>55426</v>
      </c>
      <c r="E6" s="11">
        <v>51697</v>
      </c>
      <c r="F6" s="11">
        <v>78010</v>
      </c>
      <c r="G6" s="11">
        <v>79498</v>
      </c>
      <c r="H6" s="11">
        <v>93776</v>
      </c>
      <c r="I6" s="11">
        <v>87381</v>
      </c>
      <c r="J6" s="11">
        <f t="shared" si="0"/>
        <v>2598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325437</v>
      </c>
      <c r="C7" s="11">
        <v>340000</v>
      </c>
      <c r="D7" s="11">
        <v>69673</v>
      </c>
      <c r="E7" s="11">
        <v>50321</v>
      </c>
      <c r="F7" s="11">
        <v>77207</v>
      </c>
      <c r="G7" s="11">
        <v>88206</v>
      </c>
      <c r="H7" s="11">
        <v>97217</v>
      </c>
      <c r="I7" s="11">
        <v>90822</v>
      </c>
      <c r="J7" s="11">
        <f t="shared" si="0"/>
        <v>-185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350462</v>
      </c>
      <c r="C8" s="11">
        <v>349059</v>
      </c>
      <c r="D8" s="129">
        <v>67107</v>
      </c>
      <c r="E8" s="11">
        <v>50924</v>
      </c>
      <c r="F8" s="11">
        <v>74905</v>
      </c>
      <c r="G8" s="11">
        <v>80810</v>
      </c>
      <c r="H8" s="129">
        <v>92558</v>
      </c>
      <c r="I8" s="11">
        <v>96546</v>
      </c>
      <c r="J8" s="11">
        <f t="shared" si="0"/>
        <v>-7693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292062</v>
      </c>
      <c r="C9" s="11">
        <v>283742</v>
      </c>
      <c r="D9" s="11">
        <v>56072</v>
      </c>
      <c r="E9" s="11">
        <v>56077</v>
      </c>
      <c r="F9" s="11">
        <v>79495</v>
      </c>
      <c r="G9" s="11">
        <v>84766</v>
      </c>
      <c r="H9" s="11">
        <v>135836</v>
      </c>
      <c r="I9" s="11">
        <v>137216</v>
      </c>
      <c r="J9" s="11">
        <f t="shared" si="0"/>
        <v>-1664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294812</v>
      </c>
      <c r="C10" s="11">
        <v>305776</v>
      </c>
      <c r="D10" s="129">
        <v>62730</v>
      </c>
      <c r="E10" s="11">
        <v>53264</v>
      </c>
      <c r="F10" s="129">
        <v>82099</v>
      </c>
      <c r="G10" s="11">
        <v>99041</v>
      </c>
      <c r="H10" s="129">
        <v>92059</v>
      </c>
      <c r="I10" s="11">
        <v>79280</v>
      </c>
      <c r="J10" s="11">
        <f t="shared" si="0"/>
        <v>5661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290868</v>
      </c>
      <c r="C11" s="11">
        <v>290687</v>
      </c>
      <c r="D11" s="11">
        <v>64631</v>
      </c>
      <c r="E11" s="11">
        <v>47973</v>
      </c>
      <c r="F11" s="11">
        <v>68848</v>
      </c>
      <c r="G11" s="11">
        <v>98561</v>
      </c>
      <c r="H11" s="11">
        <v>82283</v>
      </c>
      <c r="I11" s="11">
        <v>78910</v>
      </c>
      <c r="J11" s="11">
        <f t="shared" si="0"/>
        <v>9501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290040</v>
      </c>
      <c r="C12" s="11">
        <v>297891</v>
      </c>
      <c r="D12" s="11">
        <v>65272</v>
      </c>
      <c r="E12" s="11">
        <v>49000</v>
      </c>
      <c r="F12" s="11">
        <v>80530</v>
      </c>
      <c r="G12" s="11">
        <v>83999</v>
      </c>
      <c r="H12" s="11">
        <v>16200</v>
      </c>
      <c r="I12" s="11">
        <v>16227</v>
      </c>
      <c r="J12" s="11">
        <f t="shared" si="0"/>
        <v>-4925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301867</v>
      </c>
      <c r="C13" s="11">
        <v>286878</v>
      </c>
      <c r="D13" s="129">
        <v>92797</v>
      </c>
      <c r="E13" s="11">
        <v>105649</v>
      </c>
      <c r="F13" s="129">
        <v>79961</v>
      </c>
      <c r="G13" s="11">
        <v>84690</v>
      </c>
      <c r="H13" s="129">
        <v>33661</v>
      </c>
      <c r="I13" s="11">
        <v>37593</v>
      </c>
      <c r="J13" s="11">
        <f t="shared" si="0"/>
        <v>6524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288106</v>
      </c>
      <c r="C14" s="11">
        <v>285000</v>
      </c>
      <c r="D14" s="11">
        <v>116131</v>
      </c>
      <c r="E14" s="11">
        <v>114192</v>
      </c>
      <c r="F14" s="11">
        <v>77153</v>
      </c>
      <c r="G14" s="11">
        <v>82179</v>
      </c>
      <c r="H14" s="11">
        <v>97419</v>
      </c>
      <c r="I14" s="11">
        <v>89000</v>
      </c>
      <c r="J14" s="11">
        <f t="shared" si="0"/>
        <v>-8438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302416</v>
      </c>
      <c r="C15" s="11">
        <v>297351</v>
      </c>
      <c r="D15" s="11">
        <v>114586</v>
      </c>
      <c r="E15" s="11">
        <v>114492</v>
      </c>
      <c r="F15" s="11">
        <v>78429</v>
      </c>
      <c r="G15" s="11">
        <v>79671</v>
      </c>
      <c r="H15" s="11">
        <v>123159</v>
      </c>
      <c r="I15" s="11">
        <v>122451</v>
      </c>
      <c r="J15" s="11">
        <f t="shared" si="0"/>
        <v>-4625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290181</v>
      </c>
      <c r="C16" s="11">
        <v>292500</v>
      </c>
      <c r="D16" s="11">
        <v>58956</v>
      </c>
      <c r="E16" s="11">
        <v>48688</v>
      </c>
      <c r="F16" s="11">
        <v>76076</v>
      </c>
      <c r="G16" s="11">
        <v>72909</v>
      </c>
      <c r="H16" s="11">
        <v>83406</v>
      </c>
      <c r="I16" s="11">
        <v>89227</v>
      </c>
      <c r="J16" s="11">
        <f t="shared" si="0"/>
        <v>-5295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295716</v>
      </c>
      <c r="C17" s="11">
        <v>328059</v>
      </c>
      <c r="D17" s="11">
        <v>89740</v>
      </c>
      <c r="E17" s="11">
        <v>49690</v>
      </c>
      <c r="F17" s="11">
        <v>70349</v>
      </c>
      <c r="G17" s="11">
        <v>64523</v>
      </c>
      <c r="H17" s="11">
        <v>85909</v>
      </c>
      <c r="I17" s="11">
        <v>98279</v>
      </c>
      <c r="J17" s="11">
        <f t="shared" si="0"/>
        <v>-1163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150114</v>
      </c>
      <c r="C18" s="11">
        <v>262517</v>
      </c>
      <c r="D18" s="11">
        <v>72993</v>
      </c>
      <c r="E18" s="11">
        <v>49904</v>
      </c>
      <c r="F18" s="11">
        <v>66959</v>
      </c>
      <c r="G18" s="11">
        <v>53791</v>
      </c>
      <c r="H18" s="11">
        <v>107469</v>
      </c>
      <c r="I18" s="11">
        <v>92055</v>
      </c>
      <c r="J18" s="11">
        <f t="shared" si="0"/>
        <v>60732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206183</v>
      </c>
      <c r="C19" s="11">
        <v>202336</v>
      </c>
      <c r="D19" s="11">
        <v>55830</v>
      </c>
      <c r="E19" s="11">
        <v>53637</v>
      </c>
      <c r="F19" s="11">
        <v>66528</v>
      </c>
      <c r="G19" s="11">
        <v>64554</v>
      </c>
      <c r="H19" s="11">
        <v>118282</v>
      </c>
      <c r="I19" s="11">
        <v>125928</v>
      </c>
      <c r="J19" s="11">
        <f t="shared" si="0"/>
        <v>-368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323939</v>
      </c>
      <c r="C20" s="11">
        <v>324139</v>
      </c>
      <c r="D20" s="11">
        <v>30193</v>
      </c>
      <c r="E20" s="11">
        <v>29140</v>
      </c>
      <c r="F20" s="11">
        <v>80866</v>
      </c>
      <c r="G20" s="11">
        <v>84000</v>
      </c>
      <c r="H20" s="11">
        <v>143826</v>
      </c>
      <c r="I20" s="11">
        <v>137532</v>
      </c>
      <c r="J20" s="11">
        <f t="shared" si="0"/>
        <v>-4013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336728</v>
      </c>
      <c r="C21" s="11">
        <v>336000</v>
      </c>
      <c r="D21" s="11">
        <v>25437</v>
      </c>
      <c r="E21" s="11">
        <v>24500</v>
      </c>
      <c r="F21" s="11">
        <v>84594</v>
      </c>
      <c r="G21" s="11">
        <v>84000</v>
      </c>
      <c r="H21" s="11">
        <v>133642</v>
      </c>
      <c r="I21" s="11">
        <v>123524</v>
      </c>
      <c r="J21" s="11">
        <f t="shared" si="0"/>
        <v>-12377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307166</v>
      </c>
      <c r="C22" s="11">
        <v>328309</v>
      </c>
      <c r="D22" s="11">
        <v>25756</v>
      </c>
      <c r="E22" s="11">
        <v>24364</v>
      </c>
      <c r="F22" s="11">
        <v>63127</v>
      </c>
      <c r="G22" s="11">
        <v>50707</v>
      </c>
      <c r="H22" s="11">
        <v>176430</v>
      </c>
      <c r="I22" s="11">
        <v>174618</v>
      </c>
      <c r="J22" s="11">
        <f t="shared" si="0"/>
        <v>5519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269077</v>
      </c>
      <c r="C23" s="11">
        <v>271875</v>
      </c>
      <c r="D23" s="11">
        <v>29500</v>
      </c>
      <c r="E23" s="11">
        <v>32549</v>
      </c>
      <c r="F23" s="11">
        <v>49872</v>
      </c>
      <c r="G23" s="11">
        <v>52302</v>
      </c>
      <c r="H23" s="11">
        <v>179788</v>
      </c>
      <c r="I23" s="11">
        <v>167154</v>
      </c>
      <c r="J23" s="11">
        <f t="shared" si="0"/>
        <v>-4357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>
        <v>252098</v>
      </c>
      <c r="C24" s="11">
        <v>268851</v>
      </c>
      <c r="D24" s="11">
        <v>48619</v>
      </c>
      <c r="E24" s="11">
        <v>28636</v>
      </c>
      <c r="F24" s="11">
        <v>55775</v>
      </c>
      <c r="G24" s="11">
        <v>54648</v>
      </c>
      <c r="H24" s="11">
        <v>176171</v>
      </c>
      <c r="I24" s="11">
        <v>169016</v>
      </c>
      <c r="J24" s="11">
        <f t="shared" si="0"/>
        <v>-11512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>
        <v>230366</v>
      </c>
      <c r="C25" s="11">
        <v>270527</v>
      </c>
      <c r="D25" s="11">
        <v>82046</v>
      </c>
      <c r="E25" s="11">
        <v>28636</v>
      </c>
      <c r="F25" s="11">
        <v>55514</v>
      </c>
      <c r="G25" s="11">
        <v>55566</v>
      </c>
      <c r="H25" s="11">
        <v>135151</v>
      </c>
      <c r="I25" s="11">
        <v>146898</v>
      </c>
      <c r="J25" s="11">
        <f t="shared" si="0"/>
        <v>-1450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>
        <v>267711</v>
      </c>
      <c r="C26" s="11">
        <v>296857</v>
      </c>
      <c r="D26" s="11">
        <v>71118</v>
      </c>
      <c r="E26" s="11">
        <v>29673</v>
      </c>
      <c r="F26" s="11">
        <v>55377</v>
      </c>
      <c r="G26" s="11">
        <v>56496</v>
      </c>
      <c r="H26" s="11">
        <v>141383</v>
      </c>
      <c r="I26" s="11">
        <v>163107</v>
      </c>
      <c r="J26" s="11">
        <f t="shared" si="0"/>
        <v>10544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>
        <v>274587</v>
      </c>
      <c r="C27" s="11">
        <v>259847</v>
      </c>
      <c r="D27" s="11">
        <v>32375</v>
      </c>
      <c r="E27" s="11">
        <v>31584</v>
      </c>
      <c r="F27" s="11">
        <v>33922</v>
      </c>
      <c r="G27" s="11">
        <v>30562</v>
      </c>
      <c r="H27" s="11">
        <v>157295</v>
      </c>
      <c r="I27" s="11">
        <v>157049</v>
      </c>
      <c r="J27" s="11">
        <f t="shared" si="0"/>
        <v>-19137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>
        <v>283193</v>
      </c>
      <c r="C28" s="11">
        <v>293061</v>
      </c>
      <c r="D28" s="11">
        <v>32053</v>
      </c>
      <c r="E28" s="11">
        <v>29000</v>
      </c>
      <c r="F28" s="11">
        <v>31469</v>
      </c>
      <c r="G28" s="11">
        <v>27271</v>
      </c>
      <c r="H28" s="11">
        <v>203964</v>
      </c>
      <c r="I28" s="11">
        <v>201613</v>
      </c>
      <c r="J28" s="11">
        <f t="shared" si="0"/>
        <v>266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>
        <v>302228</v>
      </c>
      <c r="C29" s="11">
        <v>295926</v>
      </c>
      <c r="D29" s="11">
        <v>32687</v>
      </c>
      <c r="E29" s="11">
        <v>36779</v>
      </c>
      <c r="F29" s="11">
        <v>28741</v>
      </c>
      <c r="G29" s="11">
        <v>24695</v>
      </c>
      <c r="H29" s="11">
        <v>222464</v>
      </c>
      <c r="I29" s="11">
        <v>225892</v>
      </c>
      <c r="J29" s="11">
        <f t="shared" si="0"/>
        <v>-2828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>
        <v>295699</v>
      </c>
      <c r="C30" s="11">
        <v>293349</v>
      </c>
      <c r="D30" s="11">
        <v>48935</v>
      </c>
      <c r="E30" s="11">
        <v>29754</v>
      </c>
      <c r="F30" s="11">
        <v>33837</v>
      </c>
      <c r="G30" s="11">
        <v>36477</v>
      </c>
      <c r="H30" s="11">
        <v>179346</v>
      </c>
      <c r="I30" s="11">
        <v>208824</v>
      </c>
      <c r="J30" s="11">
        <f t="shared" si="0"/>
        <v>10587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>
        <v>302517</v>
      </c>
      <c r="C31" s="11">
        <v>310004</v>
      </c>
      <c r="D31" s="11">
        <v>49027</v>
      </c>
      <c r="E31" s="11">
        <v>50404</v>
      </c>
      <c r="F31" s="11">
        <v>25657</v>
      </c>
      <c r="G31" s="11">
        <v>22195</v>
      </c>
      <c r="H31" s="11">
        <v>140144</v>
      </c>
      <c r="I31" s="11">
        <v>136254</v>
      </c>
      <c r="J31" s="11">
        <f t="shared" si="0"/>
        <v>1512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8202650</v>
      </c>
      <c r="C35" s="11">
        <f t="shared" ref="C35:I35" si="1">SUM(C4:C34)</f>
        <v>8468938</v>
      </c>
      <c r="D35" s="11">
        <f t="shared" si="1"/>
        <v>1654718</v>
      </c>
      <c r="E35" s="11">
        <f t="shared" si="1"/>
        <v>1359084</v>
      </c>
      <c r="F35" s="11">
        <f t="shared" si="1"/>
        <v>1820959</v>
      </c>
      <c r="G35" s="11">
        <f t="shared" si="1"/>
        <v>1884013</v>
      </c>
      <c r="H35" s="11">
        <f t="shared" si="1"/>
        <v>3406089</v>
      </c>
      <c r="I35" s="11">
        <f t="shared" si="1"/>
        <v>3399251</v>
      </c>
      <c r="J35" s="11">
        <f>SUM(J4:J34)</f>
        <v>26870</v>
      </c>
      <c r="N35" s="18"/>
      <c r="R35" s="18"/>
      <c r="S35" s="21"/>
      <c r="T35" s="20"/>
      <c r="U35" s="16"/>
      <c r="V35" s="15"/>
      <c r="W35" s="13"/>
    </row>
    <row r="36" spans="1:23" x14ac:dyDescent="0.25"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N37" s="24"/>
      <c r="R37" s="18"/>
      <c r="S37" s="19"/>
      <c r="T37" s="20"/>
      <c r="U37" s="16"/>
      <c r="V37" s="15"/>
      <c r="W37" s="13"/>
    </row>
    <row r="38" spans="1:23" x14ac:dyDescent="0.25">
      <c r="A38" s="56">
        <v>37072</v>
      </c>
      <c r="C38" s="25"/>
      <c r="E38" s="25"/>
      <c r="G38" s="25"/>
      <c r="I38" s="25"/>
      <c r="J38" s="372">
        <v>286331</v>
      </c>
      <c r="N38" s="18"/>
      <c r="R38" s="18"/>
      <c r="S38" s="19"/>
      <c r="T38" s="20"/>
      <c r="U38" s="16"/>
      <c r="V38" s="15"/>
      <c r="W38" s="13"/>
    </row>
    <row r="39" spans="1:23" x14ac:dyDescent="0.25">
      <c r="J39" s="24"/>
      <c r="N39" s="18"/>
      <c r="R39" s="18"/>
      <c r="S39" s="19"/>
      <c r="T39" s="20"/>
      <c r="U39" s="16"/>
      <c r="V39" s="15"/>
      <c r="W39" s="13"/>
    </row>
    <row r="40" spans="1:23" x14ac:dyDescent="0.25">
      <c r="A40" s="33">
        <v>37100</v>
      </c>
      <c r="J40" s="51">
        <f>+J38+J35</f>
        <v>313201</v>
      </c>
      <c r="N40" s="18"/>
      <c r="R40" s="18"/>
      <c r="S40" s="19"/>
      <c r="T40" s="20"/>
      <c r="U40" s="16"/>
      <c r="V40" s="15"/>
      <c r="W40" s="13"/>
    </row>
    <row r="41" spans="1:23" x14ac:dyDescent="0.25">
      <c r="N41" s="18"/>
      <c r="R41" s="18"/>
      <c r="S41" s="19"/>
      <c r="T41" s="20"/>
      <c r="U41" s="16"/>
      <c r="V41" s="15"/>
      <c r="W41" s="13"/>
    </row>
    <row r="42" spans="1:23" x14ac:dyDescent="0.25"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11"/>
      <c r="C47" s="282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282">
        <v>2.3800000000000002E-2</v>
      </c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282">
        <v>1.5299999999999999E-2</v>
      </c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282">
        <f>+D71-D72</f>
        <v>8.5000000000000023E-3</v>
      </c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1" workbookViewId="3">
      <selection activeCell="C43" sqref="C43"/>
    </sheetView>
  </sheetViews>
  <sheetFormatPr defaultRowHeight="13.2" x14ac:dyDescent="0.25"/>
  <sheetData>
    <row r="3" spans="1:4" ht="13.8" x14ac:dyDescent="0.25">
      <c r="A3" s="134"/>
      <c r="B3" s="34" t="s">
        <v>136</v>
      </c>
    </row>
    <row r="4" spans="1:4" x14ac:dyDescent="0.25">
      <c r="A4" s="3"/>
      <c r="B4" s="59" t="s">
        <v>137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60371</v>
      </c>
      <c r="C6" s="11">
        <v>70065</v>
      </c>
      <c r="D6" s="25">
        <f>+C6-B6</f>
        <v>9694</v>
      </c>
    </row>
    <row r="7" spans="1:4" x14ac:dyDescent="0.25">
      <c r="A7" s="10">
        <v>2</v>
      </c>
      <c r="B7" s="108">
        <v>72797</v>
      </c>
      <c r="C7" s="11">
        <v>71930</v>
      </c>
      <c r="D7" s="25">
        <f t="shared" ref="D7:D36" si="0">+C7-B7</f>
        <v>-867</v>
      </c>
    </row>
    <row r="8" spans="1:4" x14ac:dyDescent="0.25">
      <c r="A8" s="10">
        <v>3</v>
      </c>
      <c r="B8" s="11">
        <v>61156</v>
      </c>
      <c r="C8" s="11">
        <v>61980</v>
      </c>
      <c r="D8" s="25">
        <f t="shared" si="0"/>
        <v>824</v>
      </c>
    </row>
    <row r="9" spans="1:4" x14ac:dyDescent="0.25">
      <c r="A9" s="10">
        <v>4</v>
      </c>
      <c r="B9" s="11">
        <v>52301</v>
      </c>
      <c r="C9" s="11">
        <v>52595</v>
      </c>
      <c r="D9" s="25">
        <f t="shared" si="0"/>
        <v>294</v>
      </c>
    </row>
    <row r="10" spans="1:4" x14ac:dyDescent="0.25">
      <c r="A10" s="10">
        <v>5</v>
      </c>
      <c r="B10" s="11">
        <v>62144</v>
      </c>
      <c r="C10" s="11">
        <v>62969</v>
      </c>
      <c r="D10" s="25">
        <f t="shared" si="0"/>
        <v>825</v>
      </c>
    </row>
    <row r="11" spans="1:4" x14ac:dyDescent="0.25">
      <c r="A11" s="10">
        <v>6</v>
      </c>
      <c r="B11" s="11">
        <v>71897</v>
      </c>
      <c r="C11" s="11">
        <v>71381</v>
      </c>
      <c r="D11" s="25">
        <f t="shared" si="0"/>
        <v>-516</v>
      </c>
    </row>
    <row r="12" spans="1:4" x14ac:dyDescent="0.25">
      <c r="A12" s="10">
        <v>7</v>
      </c>
      <c r="B12" s="11">
        <v>64002</v>
      </c>
      <c r="C12" s="11">
        <v>66382</v>
      </c>
      <c r="D12" s="25">
        <f t="shared" si="0"/>
        <v>2380</v>
      </c>
    </row>
    <row r="13" spans="1:4" x14ac:dyDescent="0.25">
      <c r="A13" s="10">
        <v>8</v>
      </c>
      <c r="B13" s="11">
        <v>63666</v>
      </c>
      <c r="C13" s="11">
        <v>68875</v>
      </c>
      <c r="D13" s="25">
        <f t="shared" si="0"/>
        <v>5209</v>
      </c>
    </row>
    <row r="14" spans="1:4" x14ac:dyDescent="0.25">
      <c r="A14" s="10">
        <v>9</v>
      </c>
      <c r="B14" s="11">
        <v>60222</v>
      </c>
      <c r="C14" s="11">
        <v>64425</v>
      </c>
      <c r="D14" s="25">
        <f t="shared" si="0"/>
        <v>4203</v>
      </c>
    </row>
    <row r="15" spans="1:4" x14ac:dyDescent="0.25">
      <c r="A15" s="10">
        <v>10</v>
      </c>
      <c r="B15" s="11">
        <v>59649</v>
      </c>
      <c r="C15" s="11">
        <v>58407</v>
      </c>
      <c r="D15" s="25">
        <f t="shared" si="0"/>
        <v>-1242</v>
      </c>
    </row>
    <row r="16" spans="1:4" x14ac:dyDescent="0.25">
      <c r="A16" s="10">
        <v>11</v>
      </c>
      <c r="B16" s="11">
        <v>61338</v>
      </c>
      <c r="C16" s="11">
        <v>62345</v>
      </c>
      <c r="D16" s="25">
        <f t="shared" si="0"/>
        <v>1007</v>
      </c>
    </row>
    <row r="17" spans="1:4" x14ac:dyDescent="0.25">
      <c r="A17" s="10">
        <v>12</v>
      </c>
      <c r="B17" s="11">
        <v>60051</v>
      </c>
      <c r="C17" s="11">
        <v>57779</v>
      </c>
      <c r="D17" s="25">
        <f t="shared" si="0"/>
        <v>-2272</v>
      </c>
    </row>
    <row r="18" spans="1:4" x14ac:dyDescent="0.25">
      <c r="A18" s="10">
        <v>13</v>
      </c>
      <c r="B18" s="11">
        <v>58436</v>
      </c>
      <c r="C18" s="11">
        <v>66558</v>
      </c>
      <c r="D18" s="25">
        <f t="shared" si="0"/>
        <v>8122</v>
      </c>
    </row>
    <row r="19" spans="1:4" x14ac:dyDescent="0.25">
      <c r="A19" s="10">
        <v>14</v>
      </c>
      <c r="B19" s="11">
        <v>64611</v>
      </c>
      <c r="C19" s="11">
        <v>63994</v>
      </c>
      <c r="D19" s="25">
        <f t="shared" si="0"/>
        <v>-617</v>
      </c>
    </row>
    <row r="20" spans="1:4" x14ac:dyDescent="0.25">
      <c r="A20" s="10">
        <v>15</v>
      </c>
      <c r="B20" s="11">
        <v>57921</v>
      </c>
      <c r="C20" s="11">
        <v>57393</v>
      </c>
      <c r="D20" s="25">
        <f t="shared" si="0"/>
        <v>-528</v>
      </c>
    </row>
    <row r="21" spans="1:4" x14ac:dyDescent="0.25">
      <c r="A21" s="10">
        <v>16</v>
      </c>
      <c r="B21" s="11">
        <v>62766</v>
      </c>
      <c r="C21" s="11">
        <v>59860</v>
      </c>
      <c r="D21" s="25">
        <f t="shared" si="0"/>
        <v>-2906</v>
      </c>
    </row>
    <row r="22" spans="1:4" x14ac:dyDescent="0.25">
      <c r="A22" s="10">
        <v>17</v>
      </c>
      <c r="B22" s="11">
        <v>52798</v>
      </c>
      <c r="C22" s="11">
        <v>49523</v>
      </c>
      <c r="D22" s="25">
        <f t="shared" si="0"/>
        <v>-3275</v>
      </c>
    </row>
    <row r="23" spans="1:4" x14ac:dyDescent="0.25">
      <c r="A23" s="10">
        <v>18</v>
      </c>
      <c r="B23" s="11">
        <v>56765</v>
      </c>
      <c r="C23" s="11">
        <v>55683</v>
      </c>
      <c r="D23" s="25">
        <f t="shared" si="0"/>
        <v>-1082</v>
      </c>
    </row>
    <row r="24" spans="1:4" x14ac:dyDescent="0.25">
      <c r="A24" s="10">
        <v>19</v>
      </c>
      <c r="B24" s="11">
        <v>48699</v>
      </c>
      <c r="C24" s="11">
        <v>53072</v>
      </c>
      <c r="D24" s="25">
        <f t="shared" si="0"/>
        <v>4373</v>
      </c>
    </row>
    <row r="25" spans="1:4" x14ac:dyDescent="0.25">
      <c r="A25" s="10">
        <v>20</v>
      </c>
      <c r="B25" s="11">
        <v>49865</v>
      </c>
      <c r="C25" s="11">
        <v>56783</v>
      </c>
      <c r="D25" s="25">
        <f t="shared" si="0"/>
        <v>6918</v>
      </c>
    </row>
    <row r="26" spans="1:4" x14ac:dyDescent="0.25">
      <c r="A26" s="10">
        <v>21</v>
      </c>
      <c r="B26" s="11">
        <v>50524</v>
      </c>
      <c r="C26" s="11">
        <v>62267</v>
      </c>
      <c r="D26" s="25">
        <f t="shared" si="0"/>
        <v>11743</v>
      </c>
    </row>
    <row r="27" spans="1:4" x14ac:dyDescent="0.25">
      <c r="A27" s="10">
        <v>22</v>
      </c>
      <c r="B27" s="11">
        <v>50508</v>
      </c>
      <c r="C27" s="11">
        <v>55320</v>
      </c>
      <c r="D27" s="25">
        <f t="shared" si="0"/>
        <v>4812</v>
      </c>
    </row>
    <row r="28" spans="1:4" x14ac:dyDescent="0.25">
      <c r="A28" s="10">
        <v>23</v>
      </c>
      <c r="B28" s="11">
        <v>50659</v>
      </c>
      <c r="C28" s="11">
        <v>50176</v>
      </c>
      <c r="D28" s="25">
        <f t="shared" si="0"/>
        <v>-483</v>
      </c>
    </row>
    <row r="29" spans="1:4" x14ac:dyDescent="0.25">
      <c r="A29" s="10">
        <v>24</v>
      </c>
      <c r="B29" s="11">
        <v>48519</v>
      </c>
      <c r="C29" s="11">
        <v>32684</v>
      </c>
      <c r="D29" s="25">
        <f t="shared" si="0"/>
        <v>-15835</v>
      </c>
    </row>
    <row r="30" spans="1:4" x14ac:dyDescent="0.25">
      <c r="A30" s="10">
        <v>25</v>
      </c>
      <c r="B30" s="11">
        <v>54136</v>
      </c>
      <c r="C30" s="11">
        <v>51992</v>
      </c>
      <c r="D30" s="25">
        <f t="shared" si="0"/>
        <v>-2144</v>
      </c>
    </row>
    <row r="31" spans="1:4" x14ac:dyDescent="0.25">
      <c r="A31" s="10">
        <v>26</v>
      </c>
      <c r="B31" s="11">
        <v>61612</v>
      </c>
      <c r="C31" s="11">
        <v>56568</v>
      </c>
      <c r="D31" s="25">
        <f t="shared" si="0"/>
        <v>-5044</v>
      </c>
    </row>
    <row r="32" spans="1:4" x14ac:dyDescent="0.25">
      <c r="A32" s="10">
        <v>27</v>
      </c>
      <c r="B32" s="11">
        <v>51210</v>
      </c>
      <c r="C32" s="11">
        <v>52443</v>
      </c>
      <c r="D32" s="25">
        <f t="shared" si="0"/>
        <v>1233</v>
      </c>
    </row>
    <row r="33" spans="1:4" x14ac:dyDescent="0.25">
      <c r="A33" s="10">
        <v>28</v>
      </c>
      <c r="B33" s="11">
        <v>54934</v>
      </c>
      <c r="C33" s="11">
        <v>75976</v>
      </c>
      <c r="D33" s="25">
        <f t="shared" si="0"/>
        <v>21042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1623557</v>
      </c>
      <c r="C37" s="11">
        <f>SUM(C6:C36)</f>
        <v>1669425</v>
      </c>
      <c r="D37" s="25">
        <f>SUM(D6:D36)</f>
        <v>45868</v>
      </c>
    </row>
    <row r="38" spans="1:4" x14ac:dyDescent="0.25">
      <c r="A38" s="26"/>
      <c r="C38" s="14"/>
      <c r="D38" s="349">
        <f>+summary!H5</f>
        <v>2.93</v>
      </c>
    </row>
    <row r="39" spans="1:4" x14ac:dyDescent="0.25">
      <c r="D39" s="138">
        <f>+D38*D37</f>
        <v>134393.24000000002</v>
      </c>
    </row>
    <row r="40" spans="1:4" x14ac:dyDescent="0.25">
      <c r="A40" s="57">
        <v>37072</v>
      </c>
      <c r="C40" s="15"/>
      <c r="D40" s="375">
        <v>0</v>
      </c>
    </row>
    <row r="41" spans="1:4" x14ac:dyDescent="0.25">
      <c r="A41" s="57">
        <v>37100</v>
      </c>
      <c r="C41" s="48"/>
      <c r="D41" s="138">
        <f>+D40+D39</f>
        <v>134393.24000000002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1"/>
  <sheetViews>
    <sheetView workbookViewId="0"/>
    <sheetView workbookViewId="1"/>
    <sheetView topLeftCell="A26" workbookViewId="2">
      <selection activeCell="D40" sqref="D40"/>
    </sheetView>
    <sheetView topLeftCell="A21" workbookViewId="3">
      <selection activeCell="C34" sqref="C34"/>
    </sheetView>
  </sheetViews>
  <sheetFormatPr defaultRowHeight="13.2" x14ac:dyDescent="0.25"/>
  <sheetData>
    <row r="3" spans="1:5" ht="13.8" x14ac:dyDescent="0.25">
      <c r="A3" s="134"/>
      <c r="B3" s="3" t="s">
        <v>138</v>
      </c>
      <c r="C3" s="87"/>
      <c r="D3" s="87"/>
      <c r="E3" s="87"/>
    </row>
    <row r="4" spans="1:5" x14ac:dyDescent="0.25">
      <c r="A4" s="3"/>
      <c r="B4" s="351" t="s">
        <v>139</v>
      </c>
      <c r="C4" s="87"/>
      <c r="D4" s="3"/>
      <c r="E4" s="87"/>
    </row>
    <row r="5" spans="1:5" x14ac:dyDescent="0.25">
      <c r="A5" s="5" t="s">
        <v>11</v>
      </c>
      <c r="B5" s="6" t="s">
        <v>20</v>
      </c>
      <c r="C5" s="6" t="s">
        <v>21</v>
      </c>
    </row>
    <row r="6" spans="1:5" x14ac:dyDescent="0.25">
      <c r="A6" s="10">
        <v>1</v>
      </c>
      <c r="B6" s="11"/>
      <c r="C6" s="11">
        <v>-2198</v>
      </c>
      <c r="D6" s="25">
        <f>+C6-B6</f>
        <v>-2198</v>
      </c>
    </row>
    <row r="7" spans="1:5" x14ac:dyDescent="0.25">
      <c r="A7" s="10">
        <v>2</v>
      </c>
      <c r="B7" s="11">
        <v>-2087</v>
      </c>
      <c r="C7" s="11">
        <v>-3232</v>
      </c>
      <c r="D7" s="25">
        <f t="shared" ref="D7:D36" si="0">+C7-B7</f>
        <v>-1145</v>
      </c>
    </row>
    <row r="8" spans="1:5" x14ac:dyDescent="0.25">
      <c r="A8" s="10">
        <v>3</v>
      </c>
      <c r="B8" s="11">
        <v>-2</v>
      </c>
      <c r="C8" s="11">
        <v>-2673</v>
      </c>
      <c r="D8" s="25">
        <f t="shared" si="0"/>
        <v>-2671</v>
      </c>
    </row>
    <row r="9" spans="1:5" x14ac:dyDescent="0.25">
      <c r="A9" s="10">
        <v>4</v>
      </c>
      <c r="B9" s="11">
        <v>-2087</v>
      </c>
      <c r="C9" s="11">
        <v>-2139</v>
      </c>
      <c r="D9" s="25">
        <f t="shared" si="0"/>
        <v>-52</v>
      </c>
    </row>
    <row r="10" spans="1:5" x14ac:dyDescent="0.25">
      <c r="A10" s="10">
        <v>5</v>
      </c>
      <c r="B10" s="11">
        <v>-2087</v>
      </c>
      <c r="C10" s="11">
        <v>-1056</v>
      </c>
      <c r="D10" s="25">
        <f t="shared" si="0"/>
        <v>1031</v>
      </c>
    </row>
    <row r="11" spans="1:5" x14ac:dyDescent="0.25">
      <c r="A11" s="10">
        <v>6</v>
      </c>
      <c r="B11" s="11">
        <v>-2087</v>
      </c>
      <c r="C11" s="11">
        <v>-1501</v>
      </c>
      <c r="D11" s="25">
        <f t="shared" si="0"/>
        <v>586</v>
      </c>
    </row>
    <row r="12" spans="1:5" x14ac:dyDescent="0.25">
      <c r="A12" s="10">
        <v>7</v>
      </c>
      <c r="B12" s="11">
        <v>-2</v>
      </c>
      <c r="C12" s="11">
        <v>-2139</v>
      </c>
      <c r="D12" s="25">
        <f t="shared" si="0"/>
        <v>-2137</v>
      </c>
    </row>
    <row r="13" spans="1:5" x14ac:dyDescent="0.25">
      <c r="A13" s="10">
        <v>8</v>
      </c>
      <c r="B13" s="11"/>
      <c r="C13" s="11">
        <v>-2139</v>
      </c>
      <c r="D13" s="25">
        <f t="shared" si="0"/>
        <v>-2139</v>
      </c>
    </row>
    <row r="14" spans="1:5" x14ac:dyDescent="0.25">
      <c r="A14" s="10">
        <v>9</v>
      </c>
      <c r="B14" s="11">
        <v>-2087</v>
      </c>
      <c r="C14" s="11">
        <v>-2139</v>
      </c>
      <c r="D14" s="25">
        <f t="shared" si="0"/>
        <v>-52</v>
      </c>
    </row>
    <row r="15" spans="1:5" x14ac:dyDescent="0.25">
      <c r="A15" s="10">
        <v>10</v>
      </c>
      <c r="B15" s="11">
        <v>-2087</v>
      </c>
      <c r="C15" s="11">
        <v>-1187</v>
      </c>
      <c r="D15" s="25">
        <f t="shared" si="0"/>
        <v>900</v>
      </c>
    </row>
    <row r="16" spans="1:5" x14ac:dyDescent="0.25">
      <c r="A16" s="10">
        <v>11</v>
      </c>
      <c r="B16" s="11">
        <v>-2087</v>
      </c>
      <c r="C16" s="11">
        <v>-2139</v>
      </c>
      <c r="D16" s="25">
        <f t="shared" si="0"/>
        <v>-52</v>
      </c>
    </row>
    <row r="17" spans="1:4" x14ac:dyDescent="0.25">
      <c r="A17" s="10">
        <v>12</v>
      </c>
      <c r="B17" s="11">
        <v>-2087</v>
      </c>
      <c r="C17" s="11">
        <v>-2139</v>
      </c>
      <c r="D17" s="25">
        <f t="shared" si="0"/>
        <v>-52</v>
      </c>
    </row>
    <row r="18" spans="1:4" x14ac:dyDescent="0.25">
      <c r="A18" s="10">
        <v>13</v>
      </c>
      <c r="B18" s="11">
        <v>-2087</v>
      </c>
      <c r="C18" s="11">
        <v>-3500</v>
      </c>
      <c r="D18" s="25">
        <f t="shared" si="0"/>
        <v>-1413</v>
      </c>
    </row>
    <row r="19" spans="1:4" x14ac:dyDescent="0.25">
      <c r="A19" s="10">
        <v>14</v>
      </c>
      <c r="B19" s="11">
        <v>-2</v>
      </c>
      <c r="C19" s="11">
        <v>-2139</v>
      </c>
      <c r="D19" s="25">
        <f t="shared" si="0"/>
        <v>-2137</v>
      </c>
    </row>
    <row r="20" spans="1:4" x14ac:dyDescent="0.25">
      <c r="A20" s="10">
        <v>15</v>
      </c>
      <c r="B20" s="11">
        <v>-2087</v>
      </c>
      <c r="C20" s="11">
        <v>-2139</v>
      </c>
      <c r="D20" s="25">
        <f t="shared" si="0"/>
        <v>-52</v>
      </c>
    </row>
    <row r="21" spans="1:4" x14ac:dyDescent="0.25">
      <c r="A21" s="10">
        <v>16</v>
      </c>
      <c r="B21" s="11">
        <v>-1977</v>
      </c>
      <c r="C21" s="11">
        <v>-2139</v>
      </c>
      <c r="D21" s="25">
        <f t="shared" si="0"/>
        <v>-162</v>
      </c>
    </row>
    <row r="22" spans="1:4" x14ac:dyDescent="0.25">
      <c r="A22" s="10">
        <v>17</v>
      </c>
      <c r="B22" s="11">
        <v>-1958</v>
      </c>
      <c r="C22" s="11">
        <v>-2671</v>
      </c>
      <c r="D22" s="25">
        <f t="shared" si="0"/>
        <v>-713</v>
      </c>
    </row>
    <row r="23" spans="1:4" x14ac:dyDescent="0.25">
      <c r="A23" s="10">
        <v>18</v>
      </c>
      <c r="B23" s="11">
        <v>-1775</v>
      </c>
      <c r="C23" s="11">
        <v>-2139</v>
      </c>
      <c r="D23" s="25">
        <f t="shared" si="0"/>
        <v>-364</v>
      </c>
    </row>
    <row r="24" spans="1:4" x14ac:dyDescent="0.25">
      <c r="A24" s="10">
        <v>19</v>
      </c>
      <c r="B24" s="11">
        <v>-827</v>
      </c>
      <c r="C24" s="11">
        <v>-2139</v>
      </c>
      <c r="D24" s="25">
        <f t="shared" si="0"/>
        <v>-1312</v>
      </c>
    </row>
    <row r="25" spans="1:4" x14ac:dyDescent="0.25">
      <c r="A25" s="10">
        <v>20</v>
      </c>
      <c r="B25" s="11">
        <v>-610</v>
      </c>
      <c r="C25" s="11">
        <v>-593</v>
      </c>
      <c r="D25" s="25">
        <f t="shared" si="0"/>
        <v>17</v>
      </c>
    </row>
    <row r="26" spans="1:4" x14ac:dyDescent="0.25">
      <c r="A26" s="10">
        <v>21</v>
      </c>
      <c r="B26" s="11">
        <v>-1258</v>
      </c>
      <c r="C26" s="11"/>
      <c r="D26" s="25">
        <f t="shared" si="0"/>
        <v>1258</v>
      </c>
    </row>
    <row r="27" spans="1:4" x14ac:dyDescent="0.25">
      <c r="A27" s="10">
        <v>22</v>
      </c>
      <c r="B27" s="11">
        <v>-1985</v>
      </c>
      <c r="C27" s="11"/>
      <c r="D27" s="25">
        <f t="shared" si="0"/>
        <v>1985</v>
      </c>
    </row>
    <row r="28" spans="1:4" x14ac:dyDescent="0.25">
      <c r="A28" s="10">
        <v>23</v>
      </c>
      <c r="B28" s="11">
        <v>-1852</v>
      </c>
      <c r="C28" s="11"/>
      <c r="D28" s="25">
        <f t="shared" si="0"/>
        <v>1852</v>
      </c>
    </row>
    <row r="29" spans="1:4" x14ac:dyDescent="0.25">
      <c r="A29" s="10">
        <v>24</v>
      </c>
      <c r="B29" s="11">
        <v>-1967</v>
      </c>
      <c r="C29" s="11">
        <v>-2139</v>
      </c>
      <c r="D29" s="25">
        <f t="shared" si="0"/>
        <v>-172</v>
      </c>
    </row>
    <row r="30" spans="1:4" x14ac:dyDescent="0.25">
      <c r="A30" s="10">
        <v>25</v>
      </c>
      <c r="B30" s="11">
        <v>-1904</v>
      </c>
      <c r="C30" s="11">
        <v>-2139</v>
      </c>
      <c r="D30" s="25">
        <f t="shared" si="0"/>
        <v>-235</v>
      </c>
    </row>
    <row r="31" spans="1:4" x14ac:dyDescent="0.25">
      <c r="A31" s="10">
        <v>26</v>
      </c>
      <c r="B31" s="11">
        <v>-561</v>
      </c>
      <c r="C31" s="11">
        <v>-2139</v>
      </c>
      <c r="D31" s="25">
        <f t="shared" si="0"/>
        <v>-1578</v>
      </c>
    </row>
    <row r="32" spans="1:4" x14ac:dyDescent="0.25">
      <c r="A32" s="10">
        <v>27</v>
      </c>
      <c r="B32" s="11">
        <v>-614</v>
      </c>
      <c r="C32" s="11">
        <v>-2139</v>
      </c>
      <c r="D32" s="25">
        <f t="shared" si="0"/>
        <v>-1525</v>
      </c>
    </row>
    <row r="33" spans="1:4" x14ac:dyDescent="0.25">
      <c r="A33" s="10">
        <v>28</v>
      </c>
      <c r="B33" s="11">
        <v>-1251</v>
      </c>
      <c r="C33" s="11">
        <v>-2139</v>
      </c>
      <c r="D33" s="25">
        <f t="shared" si="0"/>
        <v>-888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-39415</v>
      </c>
      <c r="C37" s="11">
        <f>SUM(C6:C36)</f>
        <v>-52835</v>
      </c>
      <c r="D37" s="25">
        <f>SUM(D6:D36)</f>
        <v>-13420</v>
      </c>
    </row>
    <row r="38" spans="1:4" x14ac:dyDescent="0.25">
      <c r="A38" s="26"/>
      <c r="C38" s="14"/>
      <c r="D38" s="349">
        <f>+summary!H4</f>
        <v>2.76</v>
      </c>
    </row>
    <row r="39" spans="1:4" x14ac:dyDescent="0.25">
      <c r="D39" s="138">
        <f>+D38*D37</f>
        <v>-37039.199999999997</v>
      </c>
    </row>
    <row r="40" spans="1:4" x14ac:dyDescent="0.25">
      <c r="A40" s="57">
        <v>37072</v>
      </c>
      <c r="C40" s="15"/>
      <c r="D40" s="375">
        <v>-354102.16</v>
      </c>
    </row>
    <row r="41" spans="1:4" x14ac:dyDescent="0.25">
      <c r="A41" s="57">
        <v>37100</v>
      </c>
      <c r="C41" s="48"/>
      <c r="D41" s="138">
        <f>+D40+D39</f>
        <v>-391141.36</v>
      </c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2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C33" sqref="C33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145</v>
      </c>
      <c r="C3" s="87"/>
      <c r="D3" s="87"/>
    </row>
    <row r="4" spans="1:4" x14ac:dyDescent="0.25">
      <c r="A4" s="3"/>
      <c r="B4" s="351" t="s">
        <v>141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0</v>
      </c>
      <c r="C6" s="11">
        <v>0</v>
      </c>
      <c r="D6" s="25">
        <f>+C6-B6</f>
        <v>0</v>
      </c>
    </row>
    <row r="7" spans="1:4" x14ac:dyDescent="0.25">
      <c r="A7" s="10">
        <v>2</v>
      </c>
      <c r="B7" s="11">
        <v>0</v>
      </c>
      <c r="C7" s="11">
        <v>0</v>
      </c>
      <c r="D7" s="25">
        <f t="shared" ref="D7:D36" si="0">+C7-B7</f>
        <v>0</v>
      </c>
    </row>
    <row r="8" spans="1:4" x14ac:dyDescent="0.25">
      <c r="A8" s="10">
        <v>3</v>
      </c>
      <c r="B8" s="11">
        <v>0</v>
      </c>
      <c r="C8" s="11">
        <v>0</v>
      </c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/>
      <c r="C21" s="11"/>
      <c r="D21" s="25">
        <f t="shared" si="0"/>
        <v>0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>
        <v>-349</v>
      </c>
      <c r="C23" s="11"/>
      <c r="D23" s="25">
        <f t="shared" si="0"/>
        <v>349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>
        <v>-377</v>
      </c>
      <c r="C25" s="11"/>
      <c r="D25" s="25">
        <f t="shared" si="0"/>
        <v>377</v>
      </c>
    </row>
    <row r="26" spans="1:4" x14ac:dyDescent="0.25">
      <c r="A26" s="10">
        <v>21</v>
      </c>
      <c r="B26" s="11">
        <v>-9406</v>
      </c>
      <c r="C26" s="11">
        <v>-10000</v>
      </c>
      <c r="D26" s="25">
        <f t="shared" si="0"/>
        <v>-594</v>
      </c>
    </row>
    <row r="27" spans="1:4" x14ac:dyDescent="0.25">
      <c r="A27" s="10">
        <v>22</v>
      </c>
      <c r="B27" s="11">
        <v>-18226</v>
      </c>
      <c r="C27" s="11">
        <v>-15000</v>
      </c>
      <c r="D27" s="25">
        <f t="shared" si="0"/>
        <v>3226</v>
      </c>
    </row>
    <row r="28" spans="1:4" x14ac:dyDescent="0.25">
      <c r="A28" s="10">
        <v>23</v>
      </c>
      <c r="B28" s="11">
        <v>-33261</v>
      </c>
      <c r="C28" s="11">
        <v>-55000</v>
      </c>
      <c r="D28" s="25">
        <f t="shared" si="0"/>
        <v>-21739</v>
      </c>
    </row>
    <row r="29" spans="1:4" x14ac:dyDescent="0.25">
      <c r="A29" s="10">
        <v>24</v>
      </c>
      <c r="B29" s="11">
        <v>-23072</v>
      </c>
      <c r="C29" s="11">
        <v>-54047</v>
      </c>
      <c r="D29" s="25">
        <f t="shared" si="0"/>
        <v>-30975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>
        <v>229</v>
      </c>
      <c r="D32" s="25">
        <f t="shared" si="0"/>
        <v>229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-84691</v>
      </c>
      <c r="C37" s="11">
        <f>SUM(C6:C36)</f>
        <v>-133818</v>
      </c>
      <c r="D37" s="25">
        <f>SUM(D6:D36)</f>
        <v>-49127</v>
      </c>
    </row>
    <row r="38" spans="1:4" x14ac:dyDescent="0.25">
      <c r="A38" s="26"/>
      <c r="C38" s="14"/>
      <c r="D38" s="349">
        <f>+summary!H4</f>
        <v>2.76</v>
      </c>
    </row>
    <row r="39" spans="1:4" x14ac:dyDescent="0.25">
      <c r="D39" s="138">
        <f>+D38*D37</f>
        <v>-135590.51999999999</v>
      </c>
    </row>
    <row r="40" spans="1:4" x14ac:dyDescent="0.25">
      <c r="A40" s="57">
        <v>37072</v>
      </c>
      <c r="C40" s="15"/>
      <c r="D40" s="375">
        <v>-216141.13</v>
      </c>
    </row>
    <row r="41" spans="1:4" x14ac:dyDescent="0.25">
      <c r="A41" s="57">
        <v>37100</v>
      </c>
      <c r="C41" s="48"/>
      <c r="D41" s="138">
        <f>+D40+D39</f>
        <v>-351731.65</v>
      </c>
    </row>
    <row r="42" spans="1:4" x14ac:dyDescent="0.25">
      <c r="D42" s="2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workbookViewId="3">
      <selection activeCell="A17" sqref="A17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140</v>
      </c>
      <c r="B3" s="88"/>
      <c r="C3" s="266"/>
      <c r="D3" s="88"/>
    </row>
    <row r="4" spans="1:13" x14ac:dyDescent="0.25">
      <c r="A4" s="87"/>
      <c r="B4" s="262" t="s">
        <v>20</v>
      </c>
      <c r="C4" s="262" t="s">
        <v>21</v>
      </c>
      <c r="D4" s="263" t="s">
        <v>51</v>
      </c>
    </row>
    <row r="5" spans="1:13" x14ac:dyDescent="0.25">
      <c r="A5" s="87">
        <v>56659</v>
      </c>
      <c r="B5" s="346">
        <v>-17560</v>
      </c>
      <c r="C5" s="90">
        <v>-12608</v>
      </c>
      <c r="D5" s="90">
        <f>+C5-B5</f>
        <v>4952</v>
      </c>
      <c r="E5" s="286"/>
      <c r="F5" s="284"/>
    </row>
    <row r="6" spans="1:13" x14ac:dyDescent="0.25">
      <c r="A6" s="87">
        <v>500046</v>
      </c>
      <c r="B6" s="90">
        <v>-532</v>
      </c>
      <c r="C6" s="90"/>
      <c r="D6" s="90">
        <f t="shared" ref="D6:D11" si="0">+C6-B6</f>
        <v>532</v>
      </c>
      <c r="E6" s="286"/>
      <c r="F6" s="284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6"/>
      <c r="F7" s="284"/>
      <c r="L7" t="s">
        <v>26</v>
      </c>
      <c r="M7">
        <v>7.6</v>
      </c>
    </row>
    <row r="8" spans="1:13" x14ac:dyDescent="0.25">
      <c r="A8" s="87">
        <v>500134</v>
      </c>
      <c r="B8" s="92">
        <v>-24</v>
      </c>
      <c r="C8" s="90">
        <v>-121</v>
      </c>
      <c r="D8" s="90">
        <f t="shared" si="0"/>
        <v>-97</v>
      </c>
      <c r="E8" s="286"/>
      <c r="F8" s="284"/>
    </row>
    <row r="9" spans="1:13" x14ac:dyDescent="0.25">
      <c r="A9" s="87">
        <v>500528</v>
      </c>
      <c r="B9" s="92"/>
      <c r="C9" s="90"/>
      <c r="D9" s="90">
        <f t="shared" si="0"/>
        <v>0</v>
      </c>
      <c r="E9" s="286"/>
      <c r="F9" s="284"/>
    </row>
    <row r="10" spans="1:13" x14ac:dyDescent="0.25">
      <c r="A10" s="87">
        <v>500529</v>
      </c>
      <c r="B10" s="90"/>
      <c r="C10" s="321"/>
      <c r="D10" s="90">
        <f t="shared" si="0"/>
        <v>0</v>
      </c>
      <c r="E10" s="286"/>
      <c r="F10" s="284"/>
    </row>
    <row r="11" spans="1:13" x14ac:dyDescent="0.25">
      <c r="A11" s="87">
        <v>500619</v>
      </c>
      <c r="B11" s="321"/>
      <c r="C11" s="90"/>
      <c r="D11" s="358">
        <f t="shared" si="0"/>
        <v>0</v>
      </c>
      <c r="E11" s="286"/>
      <c r="F11" s="284"/>
    </row>
    <row r="12" spans="1:13" x14ac:dyDescent="0.25">
      <c r="A12" s="87"/>
      <c r="B12" s="88"/>
      <c r="C12" s="88"/>
      <c r="D12" s="88">
        <f>SUM(D5:D11)</f>
        <v>5387</v>
      </c>
      <c r="E12" s="286"/>
      <c r="F12" s="284"/>
    </row>
    <row r="13" spans="1:13" x14ac:dyDescent="0.25">
      <c r="A13" s="87" t="s">
        <v>84</v>
      </c>
      <c r="B13" s="88"/>
      <c r="C13" s="88"/>
      <c r="D13" s="95">
        <f>+summary!H4</f>
        <v>2.76</v>
      </c>
      <c r="E13" s="288"/>
      <c r="F13" s="284"/>
    </row>
    <row r="14" spans="1:13" x14ac:dyDescent="0.25">
      <c r="A14" s="87"/>
      <c r="B14" s="88"/>
      <c r="C14" s="88"/>
      <c r="D14" s="96">
        <f>+D13*D12</f>
        <v>14868.119999999999</v>
      </c>
      <c r="E14" s="209"/>
      <c r="F14" s="285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37072</v>
      </c>
      <c r="B16" s="88"/>
      <c r="C16" s="88"/>
      <c r="D16" s="382">
        <v>-876805.42</v>
      </c>
      <c r="E16" s="209"/>
      <c r="F16" s="66"/>
    </row>
    <row r="17" spans="1:7" x14ac:dyDescent="0.25">
      <c r="A17" s="87"/>
      <c r="B17" s="88"/>
      <c r="C17" s="88"/>
      <c r="D17" s="324"/>
      <c r="E17" s="209"/>
      <c r="F17" s="66"/>
    </row>
    <row r="18" spans="1:7" ht="13.8" thickBot="1" x14ac:dyDescent="0.3">
      <c r="A18" s="99">
        <v>37100</v>
      </c>
      <c r="B18" s="88"/>
      <c r="C18" s="88"/>
      <c r="D18" s="337">
        <f>+D16+D14</f>
        <v>-861937.3</v>
      </c>
      <c r="E18" s="209"/>
      <c r="F18" s="66"/>
    </row>
    <row r="19" spans="1:7" ht="13.8" thickTop="1" x14ac:dyDescent="0.25">
      <c r="E19" s="289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workbookViewId="0"/>
    <sheetView workbookViewId="1"/>
    <sheetView workbookViewId="2"/>
    <sheetView topLeftCell="A22" workbookViewId="3">
      <selection activeCell="C41" sqref="C41"/>
    </sheetView>
  </sheetViews>
  <sheetFormatPr defaultRowHeight="13.2" x14ac:dyDescent="0.25"/>
  <sheetData>
    <row r="3" spans="1:4" ht="13.8" x14ac:dyDescent="0.25">
      <c r="A3" s="134"/>
      <c r="B3" s="34" t="s">
        <v>148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>
        <v>-10000</v>
      </c>
      <c r="D6" s="25">
        <f>+C6-B6</f>
        <v>-10000</v>
      </c>
    </row>
    <row r="7" spans="1:4" x14ac:dyDescent="0.25">
      <c r="A7" s="10">
        <v>2</v>
      </c>
      <c r="B7" s="11"/>
      <c r="C7" s="11">
        <v>-10000</v>
      </c>
      <c r="D7" s="25">
        <f t="shared" ref="D7:D36" si="0">+C7-B7</f>
        <v>-10000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/>
      <c r="C9" s="11"/>
      <c r="D9" s="25">
        <f t="shared" si="0"/>
        <v>0</v>
      </c>
    </row>
    <row r="10" spans="1:4" x14ac:dyDescent="0.25">
      <c r="A10" s="10">
        <v>5</v>
      </c>
      <c r="B10" s="11"/>
      <c r="C10" s="11"/>
      <c r="D10" s="25">
        <f t="shared" si="0"/>
        <v>0</v>
      </c>
    </row>
    <row r="11" spans="1:4" x14ac:dyDescent="0.25">
      <c r="A11" s="10">
        <v>6</v>
      </c>
      <c r="B11" s="11"/>
      <c r="C11" s="11"/>
      <c r="D11" s="25">
        <f t="shared" si="0"/>
        <v>0</v>
      </c>
    </row>
    <row r="12" spans="1:4" x14ac:dyDescent="0.25">
      <c r="A12" s="10">
        <v>7</v>
      </c>
      <c r="B12" s="11"/>
      <c r="C12" s="11"/>
      <c r="D12" s="25">
        <f t="shared" si="0"/>
        <v>0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>
        <v>-60</v>
      </c>
      <c r="C14" s="11"/>
      <c r="D14" s="25">
        <f t="shared" si="0"/>
        <v>60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>
        <v>-157</v>
      </c>
      <c r="C18" s="11"/>
      <c r="D18" s="25">
        <f t="shared" si="0"/>
        <v>157</v>
      </c>
    </row>
    <row r="19" spans="1:4" x14ac:dyDescent="0.25">
      <c r="A19" s="10">
        <v>14</v>
      </c>
      <c r="B19" s="11">
        <v>-20214</v>
      </c>
      <c r="C19" s="11">
        <v>-17461</v>
      </c>
      <c r="D19" s="25">
        <f t="shared" si="0"/>
        <v>2753</v>
      </c>
    </row>
    <row r="20" spans="1:4" x14ac:dyDescent="0.25">
      <c r="A20" s="10">
        <v>15</v>
      </c>
      <c r="B20" s="11">
        <v>-20095</v>
      </c>
      <c r="C20" s="11">
        <v>-18047</v>
      </c>
      <c r="D20" s="25">
        <f t="shared" si="0"/>
        <v>2048</v>
      </c>
    </row>
    <row r="21" spans="1:4" x14ac:dyDescent="0.25">
      <c r="A21" s="10">
        <v>16</v>
      </c>
      <c r="B21" s="11">
        <v>-20074</v>
      </c>
      <c r="C21" s="11">
        <v>-11463</v>
      </c>
      <c r="D21" s="25">
        <f t="shared" si="0"/>
        <v>8611</v>
      </c>
    </row>
    <row r="22" spans="1:4" x14ac:dyDescent="0.25">
      <c r="A22" s="10">
        <v>17</v>
      </c>
      <c r="B22" s="11"/>
      <c r="C22" s="11"/>
      <c r="D22" s="25">
        <f t="shared" si="0"/>
        <v>0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>
        <v>-29407</v>
      </c>
      <c r="C26" s="11">
        <v>-17035</v>
      </c>
      <c r="D26" s="25">
        <f t="shared" si="0"/>
        <v>12372</v>
      </c>
    </row>
    <row r="27" spans="1:4" x14ac:dyDescent="0.25">
      <c r="A27" s="10">
        <v>22</v>
      </c>
      <c r="B27" s="11">
        <v>-9740</v>
      </c>
      <c r="C27" s="11">
        <v>-17035</v>
      </c>
      <c r="D27" s="25">
        <f t="shared" si="0"/>
        <v>-7295</v>
      </c>
    </row>
    <row r="28" spans="1:4" x14ac:dyDescent="0.25">
      <c r="A28" s="10">
        <v>23</v>
      </c>
      <c r="B28" s="11">
        <v>-18858</v>
      </c>
      <c r="C28" s="11">
        <v>-17035</v>
      </c>
      <c r="D28" s="25">
        <f t="shared" si="0"/>
        <v>1823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>
        <v>-2000</v>
      </c>
      <c r="D32" s="25">
        <f t="shared" si="0"/>
        <v>-2000</v>
      </c>
    </row>
    <row r="33" spans="1:4" x14ac:dyDescent="0.25">
      <c r="A33" s="10">
        <v>28</v>
      </c>
      <c r="B33" s="11"/>
      <c r="C33" s="11">
        <v>-1375</v>
      </c>
      <c r="D33" s="25">
        <f t="shared" si="0"/>
        <v>-1375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-118605</v>
      </c>
      <c r="C37" s="11">
        <f>SUM(C6:C36)</f>
        <v>-121451</v>
      </c>
      <c r="D37" s="25">
        <f>SUM(D6:D36)</f>
        <v>-2846</v>
      </c>
    </row>
    <row r="38" spans="1:4" x14ac:dyDescent="0.25">
      <c r="A38" s="26"/>
      <c r="C38" s="14"/>
      <c r="D38" s="364"/>
    </row>
    <row r="39" spans="1:4" x14ac:dyDescent="0.25">
      <c r="D39" s="138"/>
    </row>
    <row r="40" spans="1:4" x14ac:dyDescent="0.25">
      <c r="A40" s="57">
        <v>37072</v>
      </c>
      <c r="C40" s="15"/>
      <c r="D40" s="372">
        <v>95102</v>
      </c>
    </row>
    <row r="41" spans="1:4" x14ac:dyDescent="0.25">
      <c r="A41" s="57">
        <v>37100</v>
      </c>
      <c r="C41" s="48"/>
      <c r="D41" s="25">
        <f>+D40+D37</f>
        <v>92256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2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3" workbookViewId="3">
      <selection activeCell="B31" sqref="B31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162000</v>
      </c>
      <c r="C7" s="11">
        <v>164214</v>
      </c>
      <c r="D7" s="25">
        <f>+C7-B7</f>
        <v>2214</v>
      </c>
    </row>
    <row r="8" spans="1:4" x14ac:dyDescent="0.25">
      <c r="A8" s="10">
        <v>2</v>
      </c>
      <c r="B8" s="11">
        <v>165112</v>
      </c>
      <c r="C8" s="11">
        <v>164214</v>
      </c>
      <c r="D8" s="25">
        <f>+C8-B8</f>
        <v>-898</v>
      </c>
    </row>
    <row r="9" spans="1:4" x14ac:dyDescent="0.25">
      <c r="A9" s="10">
        <v>3</v>
      </c>
      <c r="B9" s="11">
        <v>166252</v>
      </c>
      <c r="C9" s="11">
        <v>167214</v>
      </c>
      <c r="D9" s="25">
        <f t="shared" ref="D9:D37" si="0">+C9-B9</f>
        <v>962</v>
      </c>
    </row>
    <row r="10" spans="1:4" x14ac:dyDescent="0.25">
      <c r="A10" s="10">
        <v>4</v>
      </c>
      <c r="B10" s="11">
        <v>159596</v>
      </c>
      <c r="C10" s="11">
        <v>159052</v>
      </c>
      <c r="D10" s="25">
        <f t="shared" si="0"/>
        <v>-544</v>
      </c>
    </row>
    <row r="11" spans="1:4" x14ac:dyDescent="0.25">
      <c r="A11" s="10">
        <v>5</v>
      </c>
      <c r="B11" s="129">
        <v>151508</v>
      </c>
      <c r="C11" s="11">
        <v>151275</v>
      </c>
      <c r="D11" s="25">
        <f t="shared" si="0"/>
        <v>-233</v>
      </c>
    </row>
    <row r="12" spans="1:4" x14ac:dyDescent="0.25">
      <c r="A12" s="10">
        <v>6</v>
      </c>
      <c r="B12" s="11">
        <v>111224</v>
      </c>
      <c r="C12" s="11">
        <v>110803</v>
      </c>
      <c r="D12" s="25">
        <f t="shared" si="0"/>
        <v>-421</v>
      </c>
    </row>
    <row r="13" spans="1:4" x14ac:dyDescent="0.25">
      <c r="A13" s="10">
        <v>7</v>
      </c>
      <c r="B13" s="129">
        <v>147182</v>
      </c>
      <c r="C13" s="11">
        <v>147214</v>
      </c>
      <c r="D13" s="25">
        <f t="shared" si="0"/>
        <v>32</v>
      </c>
    </row>
    <row r="14" spans="1:4" x14ac:dyDescent="0.25">
      <c r="A14" s="10">
        <v>8</v>
      </c>
      <c r="B14" s="11">
        <v>148253</v>
      </c>
      <c r="C14" s="11">
        <v>147214</v>
      </c>
      <c r="D14" s="25">
        <f t="shared" si="0"/>
        <v>-1039</v>
      </c>
    </row>
    <row r="15" spans="1:4" x14ac:dyDescent="0.25">
      <c r="A15" s="10">
        <v>9</v>
      </c>
      <c r="B15" s="11">
        <v>142380</v>
      </c>
      <c r="C15" s="11">
        <v>142638</v>
      </c>
      <c r="D15" s="25">
        <f t="shared" si="0"/>
        <v>258</v>
      </c>
    </row>
    <row r="16" spans="1:4" x14ac:dyDescent="0.25">
      <c r="A16" s="10">
        <v>10</v>
      </c>
      <c r="B16" s="11">
        <v>146106</v>
      </c>
      <c r="C16" s="11">
        <v>146975</v>
      </c>
      <c r="D16" s="25">
        <f t="shared" si="0"/>
        <v>869</v>
      </c>
    </row>
    <row r="17" spans="1:4" x14ac:dyDescent="0.25">
      <c r="A17" s="10">
        <v>11</v>
      </c>
      <c r="B17" s="11">
        <v>157270</v>
      </c>
      <c r="C17" s="11">
        <v>157014</v>
      </c>
      <c r="D17" s="25">
        <f t="shared" si="0"/>
        <v>-256</v>
      </c>
    </row>
    <row r="18" spans="1:4" x14ac:dyDescent="0.25">
      <c r="A18" s="10">
        <v>12</v>
      </c>
      <c r="B18" s="11">
        <v>157058</v>
      </c>
      <c r="C18" s="11">
        <v>157014</v>
      </c>
      <c r="D18" s="25">
        <f t="shared" si="0"/>
        <v>-44</v>
      </c>
    </row>
    <row r="19" spans="1:4" x14ac:dyDescent="0.25">
      <c r="A19" s="10">
        <v>13</v>
      </c>
      <c r="B19" s="11">
        <v>157082</v>
      </c>
      <c r="C19" s="11">
        <v>157014</v>
      </c>
      <c r="D19" s="25">
        <f t="shared" si="0"/>
        <v>-68</v>
      </c>
    </row>
    <row r="20" spans="1:4" x14ac:dyDescent="0.25">
      <c r="A20" s="10">
        <v>14</v>
      </c>
      <c r="B20" s="11">
        <v>146041</v>
      </c>
      <c r="C20" s="11">
        <v>145920</v>
      </c>
      <c r="D20" s="25">
        <f t="shared" si="0"/>
        <v>-121</v>
      </c>
    </row>
    <row r="21" spans="1:4" x14ac:dyDescent="0.25">
      <c r="A21" s="10">
        <v>15</v>
      </c>
      <c r="B21" s="11">
        <v>151778</v>
      </c>
      <c r="C21" s="11">
        <v>149946</v>
      </c>
      <c r="D21" s="25">
        <f t="shared" si="0"/>
        <v>-1832</v>
      </c>
    </row>
    <row r="22" spans="1:4" x14ac:dyDescent="0.25">
      <c r="A22" s="10">
        <v>16</v>
      </c>
      <c r="B22" s="11">
        <v>144193</v>
      </c>
      <c r="C22" s="11">
        <v>142114</v>
      </c>
      <c r="D22" s="25">
        <f t="shared" si="0"/>
        <v>-2079</v>
      </c>
    </row>
    <row r="23" spans="1:4" x14ac:dyDescent="0.25">
      <c r="A23" s="10">
        <v>17</v>
      </c>
      <c r="B23" s="11">
        <v>120202</v>
      </c>
      <c r="C23" s="11">
        <v>117223</v>
      </c>
      <c r="D23" s="25">
        <f t="shared" si="0"/>
        <v>-2979</v>
      </c>
    </row>
    <row r="24" spans="1:4" x14ac:dyDescent="0.25">
      <c r="A24" s="10">
        <v>18</v>
      </c>
      <c r="B24" s="11">
        <v>111013</v>
      </c>
      <c r="C24" s="11">
        <v>109963</v>
      </c>
      <c r="D24" s="25">
        <f t="shared" si="0"/>
        <v>-1050</v>
      </c>
    </row>
    <row r="25" spans="1:4" x14ac:dyDescent="0.25">
      <c r="A25" s="10">
        <v>19</v>
      </c>
      <c r="B25" s="11">
        <v>134243</v>
      </c>
      <c r="C25" s="11">
        <v>132114</v>
      </c>
      <c r="D25" s="25">
        <f t="shared" si="0"/>
        <v>-2129</v>
      </c>
    </row>
    <row r="26" spans="1:4" x14ac:dyDescent="0.25">
      <c r="A26" s="10">
        <v>20</v>
      </c>
      <c r="B26" s="11">
        <v>134276</v>
      </c>
      <c r="C26" s="11">
        <v>133856</v>
      </c>
      <c r="D26" s="25">
        <f t="shared" si="0"/>
        <v>-420</v>
      </c>
    </row>
    <row r="27" spans="1:4" x14ac:dyDescent="0.25">
      <c r="A27" s="10">
        <v>21</v>
      </c>
      <c r="B27" s="11">
        <v>139949</v>
      </c>
      <c r="C27" s="11">
        <v>139991</v>
      </c>
      <c r="D27" s="25">
        <f t="shared" si="0"/>
        <v>42</v>
      </c>
    </row>
    <row r="28" spans="1:4" x14ac:dyDescent="0.25">
      <c r="A28" s="10">
        <v>22</v>
      </c>
      <c r="B28" s="11">
        <v>128967</v>
      </c>
      <c r="C28" s="11">
        <v>128807</v>
      </c>
      <c r="D28" s="25">
        <f t="shared" si="0"/>
        <v>-160</v>
      </c>
    </row>
    <row r="29" spans="1:4" x14ac:dyDescent="0.25">
      <c r="A29" s="10">
        <v>23</v>
      </c>
      <c r="B29" s="11">
        <v>124954</v>
      </c>
      <c r="C29" s="11">
        <v>125143</v>
      </c>
      <c r="D29" s="25">
        <f t="shared" si="0"/>
        <v>189</v>
      </c>
    </row>
    <row r="30" spans="1:4" x14ac:dyDescent="0.25">
      <c r="A30" s="10">
        <v>24</v>
      </c>
      <c r="B30" s="11">
        <v>152646</v>
      </c>
      <c r="C30" s="11">
        <v>151273</v>
      </c>
      <c r="D30" s="25">
        <f t="shared" si="0"/>
        <v>-1373</v>
      </c>
    </row>
    <row r="31" spans="1:4" x14ac:dyDescent="0.25">
      <c r="A31" s="10">
        <v>25</v>
      </c>
      <c r="B31" s="11">
        <v>126791</v>
      </c>
      <c r="C31" s="11">
        <v>125765</v>
      </c>
      <c r="D31" s="25">
        <f t="shared" si="0"/>
        <v>-1026</v>
      </c>
    </row>
    <row r="32" spans="1:4" x14ac:dyDescent="0.25">
      <c r="A32" s="10">
        <v>26</v>
      </c>
      <c r="B32" s="11">
        <v>126699</v>
      </c>
      <c r="C32" s="11">
        <v>125765</v>
      </c>
      <c r="D32" s="25">
        <f t="shared" si="0"/>
        <v>-934</v>
      </c>
    </row>
    <row r="33" spans="1:4" x14ac:dyDescent="0.25">
      <c r="A33" s="10">
        <v>27</v>
      </c>
      <c r="B33" s="11">
        <v>138175</v>
      </c>
      <c r="C33" s="11">
        <v>138021</v>
      </c>
      <c r="D33" s="25">
        <f t="shared" si="0"/>
        <v>-154</v>
      </c>
    </row>
    <row r="34" spans="1:4" x14ac:dyDescent="0.25">
      <c r="A34" s="10">
        <v>28</v>
      </c>
      <c r="B34" s="11">
        <v>154721</v>
      </c>
      <c r="C34" s="11">
        <v>153816</v>
      </c>
      <c r="D34" s="25">
        <f t="shared" si="0"/>
        <v>-905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4005671</v>
      </c>
      <c r="C38" s="11">
        <f>SUM(C7:C37)</f>
        <v>3991572</v>
      </c>
      <c r="D38" s="11">
        <f>SUM(D7:D37)</f>
        <v>-14099</v>
      </c>
    </row>
    <row r="39" spans="1:4" x14ac:dyDescent="0.25">
      <c r="A39" s="26"/>
      <c r="C39" s="14"/>
      <c r="D39" s="106">
        <f>+summary!H3</f>
        <v>2.4300000000000002</v>
      </c>
    </row>
    <row r="40" spans="1:4" x14ac:dyDescent="0.25">
      <c r="D40" s="138">
        <f>+D39*D38</f>
        <v>-34260.57</v>
      </c>
    </row>
    <row r="41" spans="1:4" x14ac:dyDescent="0.25">
      <c r="A41" s="57">
        <v>37072</v>
      </c>
      <c r="C41" s="15"/>
      <c r="D41" s="384">
        <v>0</v>
      </c>
    </row>
    <row r="42" spans="1:4" x14ac:dyDescent="0.25">
      <c r="A42" s="57">
        <v>37100</v>
      </c>
      <c r="D42" s="340">
        <f>+D41+D40</f>
        <v>-34260.57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8" workbookViewId="3">
      <selection activeCell="B33" sqref="B33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-22211</v>
      </c>
      <c r="C5" s="11">
        <v>-17333</v>
      </c>
      <c r="D5" s="11"/>
      <c r="E5" s="11">
        <v>-4000</v>
      </c>
      <c r="F5" s="11">
        <f>+C5-B5+E5-D5</f>
        <v>878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-25985</v>
      </c>
      <c r="C6" s="11">
        <v>-18363</v>
      </c>
      <c r="D6" s="11"/>
      <c r="E6" s="11">
        <v>-6075</v>
      </c>
      <c r="F6" s="11">
        <f t="shared" ref="F6:F35" si="0">+C6-B6+E6-D6</f>
        <v>1547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-55902</v>
      </c>
      <c r="C7" s="11">
        <v>-35058</v>
      </c>
      <c r="D7" s="11"/>
      <c r="E7" s="11">
        <v>-19575</v>
      </c>
      <c r="F7" s="11">
        <f t="shared" si="0"/>
        <v>1269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-46173</v>
      </c>
      <c r="C8" s="11"/>
      <c r="D8" s="11"/>
      <c r="E8" s="11">
        <v>-45075</v>
      </c>
      <c r="F8" s="11">
        <f t="shared" si="0"/>
        <v>1098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-45571</v>
      </c>
      <c r="C9" s="11"/>
      <c r="D9" s="11"/>
      <c r="E9" s="11">
        <v>-45075</v>
      </c>
      <c r="F9" s="11">
        <f t="shared" si="0"/>
        <v>496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-13615</v>
      </c>
      <c r="C10" s="11">
        <v>-4000</v>
      </c>
      <c r="D10" s="11"/>
      <c r="E10" s="11">
        <v>-9075</v>
      </c>
      <c r="F10" s="11">
        <f t="shared" si="0"/>
        <v>540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>
        <v>-55972</v>
      </c>
      <c r="C11" s="11">
        <v>-40448</v>
      </c>
      <c r="D11" s="129">
        <v>-61163</v>
      </c>
      <c r="E11" s="11">
        <v>-74075</v>
      </c>
      <c r="F11" s="11">
        <f t="shared" si="0"/>
        <v>2612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-58458</v>
      </c>
      <c r="C12" s="11">
        <v>-40448</v>
      </c>
      <c r="D12" s="11">
        <v>-57018</v>
      </c>
      <c r="E12" s="11">
        <v>-74075</v>
      </c>
      <c r="F12" s="11">
        <f t="shared" si="0"/>
        <v>953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>
        <v>-55552</v>
      </c>
      <c r="C13" s="11">
        <v>-36966</v>
      </c>
      <c r="D13" s="129">
        <v>-55738</v>
      </c>
      <c r="E13" s="11">
        <v>-72894</v>
      </c>
      <c r="F13" s="11">
        <f t="shared" si="0"/>
        <v>1430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>
        <v>-46442</v>
      </c>
      <c r="C14" s="11"/>
      <c r="D14" s="129">
        <v>-6239</v>
      </c>
      <c r="E14" s="11">
        <v>-52075</v>
      </c>
      <c r="F14" s="11">
        <f t="shared" si="0"/>
        <v>606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-62328</v>
      </c>
      <c r="C15" s="11"/>
      <c r="D15" s="11"/>
      <c r="E15" s="11">
        <v>-61075</v>
      </c>
      <c r="F15" s="11">
        <f t="shared" si="0"/>
        <v>1253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-30306</v>
      </c>
      <c r="C16" s="11"/>
      <c r="D16" s="11"/>
      <c r="E16" s="11">
        <v>-33075</v>
      </c>
      <c r="F16" s="11">
        <f t="shared" si="0"/>
        <v>-2769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-10548</v>
      </c>
      <c r="C17" s="11"/>
      <c r="D17" s="11"/>
      <c r="E17" s="11">
        <v>-12075</v>
      </c>
      <c r="F17" s="11">
        <f t="shared" si="0"/>
        <v>-1527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-64279</v>
      </c>
      <c r="C18" s="11">
        <v>-12000</v>
      </c>
      <c r="D18" s="11"/>
      <c r="E18" s="11">
        <v>-54075</v>
      </c>
      <c r="F18" s="11">
        <f t="shared" si="0"/>
        <v>-1796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-63813</v>
      </c>
      <c r="C19" s="11">
        <v>-12000</v>
      </c>
      <c r="D19" s="11"/>
      <c r="E19" s="11">
        <v>-54075</v>
      </c>
      <c r="F19" s="11">
        <f t="shared" si="0"/>
        <v>-2262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>
        <v>-43798</v>
      </c>
      <c r="C20" s="11">
        <v>-12000</v>
      </c>
      <c r="D20" s="11"/>
      <c r="E20" s="11">
        <v>-34075</v>
      </c>
      <c r="F20" s="11">
        <f t="shared" si="0"/>
        <v>-2277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>
        <v>-47471</v>
      </c>
      <c r="C21" s="11">
        <v>-15000</v>
      </c>
      <c r="D21" s="11"/>
      <c r="E21" s="11">
        <v>-34075</v>
      </c>
      <c r="F21" s="11">
        <f t="shared" si="0"/>
        <v>-1604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>
        <v>-37602</v>
      </c>
      <c r="C22" s="11">
        <v>-15000</v>
      </c>
      <c r="D22" s="11"/>
      <c r="E22" s="11">
        <v>-25575</v>
      </c>
      <c r="F22" s="11">
        <f t="shared" si="0"/>
        <v>-2973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>
        <v>-36538</v>
      </c>
      <c r="C23" s="11">
        <v>-15000</v>
      </c>
      <c r="D23" s="11"/>
      <c r="E23" s="11">
        <v>-24075</v>
      </c>
      <c r="F23" s="11">
        <f t="shared" si="0"/>
        <v>-2537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>
        <v>-50058</v>
      </c>
      <c r="C24" s="11">
        <v>-40000</v>
      </c>
      <c r="D24" s="11"/>
      <c r="E24" s="11">
        <v>-10575</v>
      </c>
      <c r="F24" s="11">
        <f t="shared" si="0"/>
        <v>-517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>
        <v>-78866</v>
      </c>
      <c r="C25" s="11">
        <v>-35486</v>
      </c>
      <c r="D25" s="11">
        <v>-26875</v>
      </c>
      <c r="E25" s="11">
        <v>-70575</v>
      </c>
      <c r="F25" s="11">
        <f t="shared" si="0"/>
        <v>-320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>
        <v>-73740</v>
      </c>
      <c r="C26" s="11">
        <v>-35486</v>
      </c>
      <c r="D26" s="11">
        <v>-30469</v>
      </c>
      <c r="E26" s="11">
        <v>-70575</v>
      </c>
      <c r="F26" s="11">
        <f t="shared" si="0"/>
        <v>-1852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>
        <v>-70781</v>
      </c>
      <c r="C27" s="11">
        <v>-35486</v>
      </c>
      <c r="D27" s="11">
        <v>-32225</v>
      </c>
      <c r="E27" s="11">
        <v>-70575</v>
      </c>
      <c r="F27" s="11">
        <f t="shared" si="0"/>
        <v>-3055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>
        <v>-19400</v>
      </c>
      <c r="C28" s="11"/>
      <c r="D28" s="11"/>
      <c r="E28" s="11">
        <v>-16775</v>
      </c>
      <c r="F28" s="11">
        <f t="shared" si="0"/>
        <v>2625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>
        <v>-55547</v>
      </c>
      <c r="C29" s="11"/>
      <c r="D29" s="11"/>
      <c r="E29" s="11">
        <v>-64075</v>
      </c>
      <c r="F29" s="11">
        <f t="shared" si="0"/>
        <v>-8528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>
        <v>-20580</v>
      </c>
      <c r="C30" s="11">
        <v>-52635</v>
      </c>
      <c r="D30" s="11">
        <v>-76888</v>
      </c>
      <c r="E30" s="11">
        <v>-51075</v>
      </c>
      <c r="F30" s="11">
        <f t="shared" si="0"/>
        <v>-6242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>
        <v>-35000</v>
      </c>
      <c r="D31" s="11">
        <v>-69391</v>
      </c>
      <c r="E31" s="11">
        <v>-37075</v>
      </c>
      <c r="F31" s="11">
        <f t="shared" si="0"/>
        <v>-2684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>
        <v>-717</v>
      </c>
      <c r="C32" s="11">
        <v>-38000</v>
      </c>
      <c r="D32" s="11">
        <v>-89160</v>
      </c>
      <c r="E32" s="11">
        <v>-53886</v>
      </c>
      <c r="F32" s="11">
        <f t="shared" si="0"/>
        <v>-2009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-1192253</v>
      </c>
      <c r="C36" s="44">
        <f>SUM(C5:C35)</f>
        <v>-545709</v>
      </c>
      <c r="D36" s="43">
        <f>SUM(D5:D35)</f>
        <v>-505166</v>
      </c>
      <c r="E36" s="44">
        <f>SUM(E5:E35)</f>
        <v>-1179355</v>
      </c>
      <c r="F36" s="11">
        <f>SUM(F5:F35)</f>
        <v>-27645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-646544</v>
      </c>
      <c r="D37" s="24"/>
      <c r="E37" s="24">
        <f>+D36-E36</f>
        <v>674189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37072</v>
      </c>
      <c r="C41" s="14"/>
      <c r="D41" s="50"/>
      <c r="E41" s="50"/>
      <c r="F41" s="380">
        <v>69314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37100</v>
      </c>
      <c r="C42" s="14"/>
      <c r="D42" s="50"/>
      <c r="E42" s="50"/>
      <c r="F42" s="51">
        <f>+F41+F36</f>
        <v>41669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2" workbookViewId="3">
      <selection activeCell="C32" sqref="C32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-110977</v>
      </c>
      <c r="C4" s="11">
        <v>-108476</v>
      </c>
      <c r="D4" s="25">
        <f>+C4-B4</f>
        <v>2501</v>
      </c>
    </row>
    <row r="5" spans="1:4" x14ac:dyDescent="0.25">
      <c r="A5" s="10">
        <v>2</v>
      </c>
      <c r="B5" s="108">
        <v>-126065</v>
      </c>
      <c r="C5" s="11">
        <v>-133671</v>
      </c>
      <c r="D5" s="25">
        <f t="shared" ref="D5:D34" si="0">+C5-B5</f>
        <v>-7606</v>
      </c>
    </row>
    <row r="6" spans="1:4" x14ac:dyDescent="0.25">
      <c r="A6" s="10">
        <v>3</v>
      </c>
      <c r="B6" s="108">
        <v>-159519</v>
      </c>
      <c r="C6" s="11">
        <v>-157560</v>
      </c>
      <c r="D6" s="25">
        <f t="shared" si="0"/>
        <v>1959</v>
      </c>
    </row>
    <row r="7" spans="1:4" x14ac:dyDescent="0.25">
      <c r="A7" s="10">
        <v>4</v>
      </c>
      <c r="B7" s="11">
        <v>-159784</v>
      </c>
      <c r="C7" s="11">
        <v>-158380</v>
      </c>
      <c r="D7" s="25">
        <f t="shared" si="0"/>
        <v>1404</v>
      </c>
    </row>
    <row r="8" spans="1:4" x14ac:dyDescent="0.25">
      <c r="A8" s="10">
        <v>5</v>
      </c>
      <c r="B8" s="108">
        <v>-155647</v>
      </c>
      <c r="C8" s="11">
        <v>-154469</v>
      </c>
      <c r="D8" s="25">
        <f t="shared" si="0"/>
        <v>1178</v>
      </c>
    </row>
    <row r="9" spans="1:4" x14ac:dyDescent="0.25">
      <c r="A9" s="10">
        <v>6</v>
      </c>
      <c r="B9" s="108">
        <v>-183350</v>
      </c>
      <c r="C9" s="11">
        <v>-180577</v>
      </c>
      <c r="D9" s="25">
        <f t="shared" si="0"/>
        <v>2773</v>
      </c>
    </row>
    <row r="10" spans="1:4" x14ac:dyDescent="0.25">
      <c r="A10" s="10">
        <v>7</v>
      </c>
      <c r="B10" s="11">
        <v>-117148</v>
      </c>
      <c r="C10" s="11">
        <v>-116037</v>
      </c>
      <c r="D10" s="25">
        <f t="shared" si="0"/>
        <v>1111</v>
      </c>
    </row>
    <row r="11" spans="1:4" x14ac:dyDescent="0.25">
      <c r="A11" s="10">
        <v>8</v>
      </c>
      <c r="B11" s="11">
        <v>-149643</v>
      </c>
      <c r="C11" s="11">
        <v>-148722</v>
      </c>
      <c r="D11" s="25">
        <f t="shared" si="0"/>
        <v>921</v>
      </c>
    </row>
    <row r="12" spans="1:4" x14ac:dyDescent="0.25">
      <c r="A12" s="10">
        <v>9</v>
      </c>
      <c r="B12" s="11">
        <v>-146498</v>
      </c>
      <c r="C12" s="11">
        <v>-145412</v>
      </c>
      <c r="D12" s="25">
        <f t="shared" si="0"/>
        <v>1086</v>
      </c>
    </row>
    <row r="13" spans="1:4" x14ac:dyDescent="0.25">
      <c r="A13" s="10">
        <v>10</v>
      </c>
      <c r="B13" s="11">
        <v>-132398</v>
      </c>
      <c r="C13" s="11">
        <v>-131168</v>
      </c>
      <c r="D13" s="25">
        <f t="shared" si="0"/>
        <v>1230</v>
      </c>
    </row>
    <row r="14" spans="1:4" x14ac:dyDescent="0.25">
      <c r="A14" s="10">
        <v>11</v>
      </c>
      <c r="B14" s="11">
        <v>-125878</v>
      </c>
      <c r="C14" s="11">
        <v>-125708</v>
      </c>
      <c r="D14" s="25">
        <f t="shared" si="0"/>
        <v>170</v>
      </c>
    </row>
    <row r="15" spans="1:4" x14ac:dyDescent="0.25">
      <c r="A15" s="10">
        <v>12</v>
      </c>
      <c r="B15" s="11">
        <v>-189857</v>
      </c>
      <c r="C15" s="11">
        <v>-188547</v>
      </c>
      <c r="D15" s="25">
        <f t="shared" si="0"/>
        <v>1310</v>
      </c>
    </row>
    <row r="16" spans="1:4" x14ac:dyDescent="0.25">
      <c r="A16" s="10">
        <v>13</v>
      </c>
      <c r="B16" s="11">
        <v>-198290</v>
      </c>
      <c r="C16" s="11">
        <v>-197327</v>
      </c>
      <c r="D16" s="25">
        <f t="shared" si="0"/>
        <v>963</v>
      </c>
    </row>
    <row r="17" spans="1:4" x14ac:dyDescent="0.25">
      <c r="A17" s="10">
        <v>14</v>
      </c>
      <c r="B17" s="11">
        <v>-153610</v>
      </c>
      <c r="C17" s="11">
        <v>-151765</v>
      </c>
      <c r="D17" s="25">
        <f t="shared" si="0"/>
        <v>1845</v>
      </c>
    </row>
    <row r="18" spans="1:4" x14ac:dyDescent="0.25">
      <c r="A18" s="10">
        <v>15</v>
      </c>
      <c r="B18" s="11">
        <v>-112556</v>
      </c>
      <c r="C18" s="11">
        <v>-111957</v>
      </c>
      <c r="D18" s="25">
        <f t="shared" si="0"/>
        <v>599</v>
      </c>
    </row>
    <row r="19" spans="1:4" x14ac:dyDescent="0.25">
      <c r="A19" s="10">
        <v>16</v>
      </c>
      <c r="B19" s="11">
        <v>-112398</v>
      </c>
      <c r="C19" s="11">
        <v>-111233</v>
      </c>
      <c r="D19" s="25">
        <f t="shared" si="0"/>
        <v>1165</v>
      </c>
    </row>
    <row r="20" spans="1:4" x14ac:dyDescent="0.25">
      <c r="A20" s="10">
        <v>17</v>
      </c>
      <c r="B20" s="11">
        <v>-177636</v>
      </c>
      <c r="C20" s="11">
        <v>-177011</v>
      </c>
      <c r="D20" s="25">
        <f t="shared" si="0"/>
        <v>625</v>
      </c>
    </row>
    <row r="21" spans="1:4" x14ac:dyDescent="0.25">
      <c r="A21" s="10">
        <v>18</v>
      </c>
      <c r="B21" s="11">
        <v>-195965</v>
      </c>
      <c r="C21" s="11">
        <v>-195469</v>
      </c>
      <c r="D21" s="25">
        <f t="shared" si="0"/>
        <v>496</v>
      </c>
    </row>
    <row r="22" spans="1:4" x14ac:dyDescent="0.25">
      <c r="A22" s="10">
        <v>19</v>
      </c>
      <c r="B22" s="11">
        <v>-183423</v>
      </c>
      <c r="C22" s="11">
        <v>-181228</v>
      </c>
      <c r="D22" s="25">
        <f t="shared" si="0"/>
        <v>2195</v>
      </c>
    </row>
    <row r="23" spans="1:4" x14ac:dyDescent="0.25">
      <c r="A23" s="10">
        <v>20</v>
      </c>
      <c r="B23" s="11">
        <v>-194114</v>
      </c>
      <c r="C23" s="11">
        <v>-191665</v>
      </c>
      <c r="D23" s="25">
        <f t="shared" si="0"/>
        <v>2449</v>
      </c>
    </row>
    <row r="24" spans="1:4" x14ac:dyDescent="0.25">
      <c r="A24" s="10">
        <v>21</v>
      </c>
      <c r="B24" s="11">
        <v>-168147</v>
      </c>
      <c r="C24" s="11">
        <v>-166644</v>
      </c>
      <c r="D24" s="25">
        <f t="shared" si="0"/>
        <v>1503</v>
      </c>
    </row>
    <row r="25" spans="1:4" x14ac:dyDescent="0.25">
      <c r="A25" s="10">
        <v>22</v>
      </c>
      <c r="B25" s="11">
        <v>-164751</v>
      </c>
      <c r="C25" s="11">
        <v>-162007</v>
      </c>
      <c r="D25" s="25">
        <f t="shared" si="0"/>
        <v>2744</v>
      </c>
    </row>
    <row r="26" spans="1:4" x14ac:dyDescent="0.25">
      <c r="A26" s="10">
        <v>23</v>
      </c>
      <c r="B26" s="11">
        <v>-111317</v>
      </c>
      <c r="C26" s="11">
        <v>-110211</v>
      </c>
      <c r="D26" s="25">
        <f t="shared" si="0"/>
        <v>1106</v>
      </c>
    </row>
    <row r="27" spans="1:4" x14ac:dyDescent="0.25">
      <c r="A27" s="10">
        <v>24</v>
      </c>
      <c r="B27" s="11">
        <v>-151881</v>
      </c>
      <c r="C27" s="11">
        <v>-148939</v>
      </c>
      <c r="D27" s="25">
        <f t="shared" si="0"/>
        <v>2942</v>
      </c>
    </row>
    <row r="28" spans="1:4" x14ac:dyDescent="0.25">
      <c r="A28" s="10">
        <v>25</v>
      </c>
      <c r="B28" s="11">
        <v>-203402</v>
      </c>
      <c r="C28" s="11">
        <v>-202605</v>
      </c>
      <c r="D28" s="25">
        <f t="shared" si="0"/>
        <v>797</v>
      </c>
    </row>
    <row r="29" spans="1:4" x14ac:dyDescent="0.25">
      <c r="A29" s="10">
        <v>26</v>
      </c>
      <c r="B29" s="11">
        <v>-212346</v>
      </c>
      <c r="C29" s="11">
        <v>-210027</v>
      </c>
      <c r="D29" s="25">
        <f t="shared" si="0"/>
        <v>2319</v>
      </c>
    </row>
    <row r="30" spans="1:4" x14ac:dyDescent="0.25">
      <c r="A30" s="10">
        <v>27</v>
      </c>
      <c r="B30" s="11">
        <v>-143640</v>
      </c>
      <c r="C30" s="11">
        <v>-142521</v>
      </c>
      <c r="D30" s="25">
        <f t="shared" si="0"/>
        <v>1119</v>
      </c>
    </row>
    <row r="31" spans="1:4" x14ac:dyDescent="0.25">
      <c r="A31" s="10">
        <v>28</v>
      </c>
      <c r="B31" s="11">
        <v>-186472</v>
      </c>
      <c r="C31" s="11">
        <v>-184044</v>
      </c>
      <c r="D31" s="25">
        <f t="shared" si="0"/>
        <v>2428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-4426712</v>
      </c>
      <c r="C35" s="11">
        <f>SUM(C4:C34)</f>
        <v>-4393380</v>
      </c>
      <c r="D35" s="11">
        <f>SUM(D4:D34)</f>
        <v>33332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50">
        <v>37072</v>
      </c>
      <c r="D38" s="380">
        <v>-12760</v>
      </c>
    </row>
    <row r="39" spans="1:30" x14ac:dyDescent="0.25">
      <c r="A39" s="12"/>
      <c r="D39" s="24"/>
    </row>
    <row r="40" spans="1:30" x14ac:dyDescent="0.25">
      <c r="A40" s="250">
        <v>37100</v>
      </c>
      <c r="D40" s="24">
        <f>+D38+D35</f>
        <v>20572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K44"/>
    </row>
    <row r="45" spans="1:30" x14ac:dyDescent="0.25">
      <c r="B45" s="5"/>
      <c r="C45" s="6"/>
      <c r="D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B46" s="10"/>
      <c r="C46" s="11"/>
      <c r="D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B47" s="10"/>
      <c r="C47" s="11"/>
      <c r="D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B48" s="10"/>
      <c r="C48" s="11"/>
      <c r="D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11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0" workbookViewId="3">
      <selection activeCell="C42" sqref="C42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-681864</v>
      </c>
      <c r="C4" s="11">
        <v>-671501</v>
      </c>
      <c r="D4" s="11">
        <v>-49417</v>
      </c>
      <c r="E4" s="11">
        <v>-50000</v>
      </c>
      <c r="F4" s="25">
        <f>+E4+C4-D4-B4</f>
        <v>9780</v>
      </c>
      <c r="H4" s="10"/>
      <c r="I4" s="11"/>
    </row>
    <row r="5" spans="1:11" x14ac:dyDescent="0.25">
      <c r="A5" s="10">
        <v>2</v>
      </c>
      <c r="B5" s="11">
        <v>-793585</v>
      </c>
      <c r="C5" s="11">
        <v>-805600</v>
      </c>
      <c r="D5" s="11">
        <v>-24999</v>
      </c>
      <c r="E5" s="11">
        <v>-25000</v>
      </c>
      <c r="F5" s="25">
        <f t="shared" ref="F5:F34" si="0">+C5-B5+E5-D5</f>
        <v>-12016</v>
      </c>
      <c r="H5" s="10"/>
      <c r="I5" s="11"/>
    </row>
    <row r="6" spans="1:11" x14ac:dyDescent="0.25">
      <c r="A6" s="10">
        <v>3</v>
      </c>
      <c r="B6" s="11">
        <v>-803904</v>
      </c>
      <c r="C6" s="11">
        <v>-807198</v>
      </c>
      <c r="D6" s="11">
        <v>-24995</v>
      </c>
      <c r="E6" s="11">
        <v>-25000</v>
      </c>
      <c r="F6" s="25">
        <f t="shared" si="0"/>
        <v>-3299</v>
      </c>
      <c r="H6" s="10"/>
      <c r="I6" s="11"/>
    </row>
    <row r="7" spans="1:11" x14ac:dyDescent="0.25">
      <c r="A7" s="10">
        <v>4</v>
      </c>
      <c r="B7" s="11">
        <v>-774286</v>
      </c>
      <c r="C7" s="11">
        <v>-766773</v>
      </c>
      <c r="D7" s="11">
        <v>-25002</v>
      </c>
      <c r="E7" s="11">
        <v>-25000</v>
      </c>
      <c r="F7" s="25">
        <f t="shared" si="0"/>
        <v>7515</v>
      </c>
      <c r="H7" s="10"/>
      <c r="I7" s="11"/>
      <c r="K7" s="25"/>
    </row>
    <row r="8" spans="1:11" x14ac:dyDescent="0.25">
      <c r="A8" s="10">
        <v>5</v>
      </c>
      <c r="B8" s="129">
        <v>-785331</v>
      </c>
      <c r="C8" s="11">
        <v>-777289</v>
      </c>
      <c r="D8" s="11">
        <v>-24837</v>
      </c>
      <c r="E8" s="11">
        <v>-25000</v>
      </c>
      <c r="F8" s="25">
        <f t="shared" si="0"/>
        <v>7879</v>
      </c>
      <c r="H8" s="10"/>
      <c r="I8" s="11"/>
    </row>
    <row r="9" spans="1:11" x14ac:dyDescent="0.25">
      <c r="A9" s="10">
        <v>6</v>
      </c>
      <c r="B9" s="11">
        <v>-825422</v>
      </c>
      <c r="C9" s="11">
        <v>-810352</v>
      </c>
      <c r="D9" s="11"/>
      <c r="E9" s="11"/>
      <c r="F9" s="25">
        <f t="shared" si="0"/>
        <v>15070</v>
      </c>
      <c r="H9" s="10"/>
      <c r="I9" s="11"/>
    </row>
    <row r="10" spans="1:11" x14ac:dyDescent="0.25">
      <c r="A10" s="10">
        <v>7</v>
      </c>
      <c r="B10" s="129">
        <v>-816311</v>
      </c>
      <c r="C10" s="11">
        <v>-813600</v>
      </c>
      <c r="D10" s="129">
        <v>-31520</v>
      </c>
      <c r="E10" s="11">
        <v>-30000</v>
      </c>
      <c r="F10" s="25">
        <f t="shared" si="0"/>
        <v>4231</v>
      </c>
      <c r="H10" s="10"/>
      <c r="I10" s="11"/>
    </row>
    <row r="11" spans="1:11" x14ac:dyDescent="0.25">
      <c r="A11" s="10">
        <v>8</v>
      </c>
      <c r="B11" s="11">
        <v>-809878</v>
      </c>
      <c r="C11" s="11">
        <v>-802373</v>
      </c>
      <c r="D11" s="11">
        <v>-5351</v>
      </c>
      <c r="E11" s="11"/>
      <c r="F11" s="25">
        <f t="shared" si="0"/>
        <v>12856</v>
      </c>
      <c r="H11" s="10"/>
      <c r="I11" s="11"/>
    </row>
    <row r="12" spans="1:11" x14ac:dyDescent="0.25">
      <c r="A12" s="10">
        <v>9</v>
      </c>
      <c r="B12" s="11">
        <v>-814195</v>
      </c>
      <c r="C12" s="11">
        <v>-812800</v>
      </c>
      <c r="D12" s="11"/>
      <c r="E12" s="11"/>
      <c r="F12" s="25">
        <f t="shared" si="0"/>
        <v>1395</v>
      </c>
      <c r="H12" s="10"/>
      <c r="I12" s="11"/>
    </row>
    <row r="13" spans="1:11" x14ac:dyDescent="0.25">
      <c r="A13" s="10">
        <v>10</v>
      </c>
      <c r="B13" s="11">
        <v>-816629</v>
      </c>
      <c r="C13" s="11">
        <v>-812674</v>
      </c>
      <c r="D13" s="129">
        <v>-24606</v>
      </c>
      <c r="E13" s="11">
        <v>-25000</v>
      </c>
      <c r="F13" s="25">
        <f t="shared" si="0"/>
        <v>3561</v>
      </c>
      <c r="H13" s="10"/>
      <c r="I13" s="11"/>
    </row>
    <row r="14" spans="1:11" x14ac:dyDescent="0.25">
      <c r="A14" s="10">
        <v>11</v>
      </c>
      <c r="B14" s="11">
        <v>-805885</v>
      </c>
      <c r="C14" s="11">
        <v>-806025</v>
      </c>
      <c r="D14" s="11">
        <v>-24945</v>
      </c>
      <c r="E14" s="11">
        <v>-25000</v>
      </c>
      <c r="F14" s="25">
        <f t="shared" si="0"/>
        <v>-195</v>
      </c>
      <c r="H14" s="10"/>
      <c r="I14" s="11"/>
    </row>
    <row r="15" spans="1:11" x14ac:dyDescent="0.25">
      <c r="A15" s="10">
        <v>12</v>
      </c>
      <c r="B15" s="11">
        <v>-777542</v>
      </c>
      <c r="C15" s="11">
        <v>-764250</v>
      </c>
      <c r="D15" s="11">
        <v>-111</v>
      </c>
      <c r="E15" s="11"/>
      <c r="F15" s="25">
        <f t="shared" si="0"/>
        <v>13403</v>
      </c>
      <c r="H15" s="10"/>
      <c r="I15" s="11"/>
    </row>
    <row r="16" spans="1:11" x14ac:dyDescent="0.25">
      <c r="A16" s="10">
        <v>13</v>
      </c>
      <c r="B16" s="11">
        <v>-778404</v>
      </c>
      <c r="C16" s="11">
        <v>-779176</v>
      </c>
      <c r="D16" s="11">
        <v>-1279</v>
      </c>
      <c r="E16" s="11"/>
      <c r="F16" s="25">
        <f t="shared" si="0"/>
        <v>507</v>
      </c>
      <c r="H16" s="10"/>
      <c r="I16" s="11"/>
      <c r="K16" s="25"/>
    </row>
    <row r="17" spans="1:11" x14ac:dyDescent="0.25">
      <c r="A17" s="10">
        <v>14</v>
      </c>
      <c r="B17" s="11">
        <v>-710800</v>
      </c>
      <c r="C17" s="11">
        <v>-709330</v>
      </c>
      <c r="D17" s="11">
        <v>-58</v>
      </c>
      <c r="E17" s="11"/>
      <c r="F17" s="25">
        <f t="shared" si="0"/>
        <v>1528</v>
      </c>
      <c r="H17" s="10"/>
      <c r="I17" s="11"/>
    </row>
    <row r="18" spans="1:11" x14ac:dyDescent="0.25">
      <c r="A18" s="10">
        <v>15</v>
      </c>
      <c r="B18" s="11">
        <v>-552319</v>
      </c>
      <c r="C18" s="11">
        <v>-553244</v>
      </c>
      <c r="D18" s="11">
        <v>-52588</v>
      </c>
      <c r="E18" s="11">
        <v>-50000</v>
      </c>
      <c r="F18" s="25">
        <f t="shared" si="0"/>
        <v>1663</v>
      </c>
      <c r="H18" s="10"/>
      <c r="I18" s="11"/>
    </row>
    <row r="19" spans="1:11" x14ac:dyDescent="0.25">
      <c r="A19" s="10">
        <v>16</v>
      </c>
      <c r="B19" s="11">
        <v>-752609</v>
      </c>
      <c r="C19" s="11">
        <v>-753928</v>
      </c>
      <c r="D19" s="11">
        <v>-26678</v>
      </c>
      <c r="E19" s="11">
        <v>-25000</v>
      </c>
      <c r="F19" s="25">
        <f t="shared" si="0"/>
        <v>359</v>
      </c>
      <c r="H19" s="10"/>
      <c r="I19" s="11"/>
    </row>
    <row r="20" spans="1:11" x14ac:dyDescent="0.25">
      <c r="A20" s="10">
        <v>17</v>
      </c>
      <c r="B20" s="11">
        <v>-761603</v>
      </c>
      <c r="C20" s="11">
        <v>-778188</v>
      </c>
      <c r="D20" s="11">
        <v>-24993</v>
      </c>
      <c r="E20" s="11">
        <v>-25000</v>
      </c>
      <c r="F20" s="25">
        <f t="shared" si="0"/>
        <v>-16592</v>
      </c>
      <c r="H20" s="10"/>
      <c r="I20" s="11"/>
    </row>
    <row r="21" spans="1:11" x14ac:dyDescent="0.25">
      <c r="A21" s="10">
        <v>18</v>
      </c>
      <c r="B21" s="11">
        <v>-773280</v>
      </c>
      <c r="C21" s="11">
        <v>-773404</v>
      </c>
      <c r="D21" s="11">
        <v>-329</v>
      </c>
      <c r="E21" s="11"/>
      <c r="F21" s="25">
        <f t="shared" si="0"/>
        <v>205</v>
      </c>
      <c r="H21" s="10"/>
      <c r="I21" s="11"/>
    </row>
    <row r="22" spans="1:11" x14ac:dyDescent="0.25">
      <c r="A22" s="10">
        <v>19</v>
      </c>
      <c r="B22" s="11">
        <v>-743048</v>
      </c>
      <c r="C22" s="11">
        <v>-732406</v>
      </c>
      <c r="D22" s="11"/>
      <c r="E22" s="11"/>
      <c r="F22" s="25">
        <f t="shared" si="0"/>
        <v>10642</v>
      </c>
      <c r="H22" s="10"/>
      <c r="I22" s="11"/>
    </row>
    <row r="23" spans="1:11" x14ac:dyDescent="0.25">
      <c r="A23" s="10">
        <v>20</v>
      </c>
      <c r="B23" s="11">
        <v>-593657</v>
      </c>
      <c r="C23" s="11">
        <v>-593768</v>
      </c>
      <c r="D23" s="11"/>
      <c r="E23" s="11"/>
      <c r="F23" s="25">
        <f t="shared" si="0"/>
        <v>-111</v>
      </c>
      <c r="H23" s="10"/>
      <c r="I23" s="11"/>
    </row>
    <row r="24" spans="1:11" x14ac:dyDescent="0.25">
      <c r="A24" s="10">
        <v>21</v>
      </c>
      <c r="B24" s="11">
        <v>-539649</v>
      </c>
      <c r="C24" s="11">
        <v>-538965</v>
      </c>
      <c r="D24" s="11"/>
      <c r="E24" s="11"/>
      <c r="F24" s="25">
        <f t="shared" si="0"/>
        <v>684</v>
      </c>
      <c r="H24" s="10"/>
      <c r="I24" s="11"/>
      <c r="K24" s="25"/>
    </row>
    <row r="25" spans="1:11" x14ac:dyDescent="0.25">
      <c r="A25" s="10">
        <v>22</v>
      </c>
      <c r="B25" s="11">
        <v>-519048</v>
      </c>
      <c r="C25" s="11">
        <v>-513107</v>
      </c>
      <c r="D25" s="11"/>
      <c r="E25" s="11"/>
      <c r="F25" s="25">
        <f t="shared" si="0"/>
        <v>5941</v>
      </c>
      <c r="H25" s="10"/>
      <c r="I25" s="11"/>
    </row>
    <row r="26" spans="1:11" x14ac:dyDescent="0.25">
      <c r="A26" s="10">
        <v>23</v>
      </c>
      <c r="B26" s="11">
        <v>-789324</v>
      </c>
      <c r="C26" s="11">
        <v>-789725</v>
      </c>
      <c r="D26" s="11">
        <v>-5111</v>
      </c>
      <c r="E26" s="11">
        <v>-5000</v>
      </c>
      <c r="F26" s="25">
        <f t="shared" si="0"/>
        <v>-290</v>
      </c>
      <c r="H26" s="10"/>
      <c r="I26" s="11"/>
    </row>
    <row r="27" spans="1:11" x14ac:dyDescent="0.25">
      <c r="A27" s="10">
        <v>24</v>
      </c>
      <c r="B27" s="11">
        <v>-757430</v>
      </c>
      <c r="C27" s="11">
        <v>-755622</v>
      </c>
      <c r="D27" s="11"/>
      <c r="E27" s="11"/>
      <c r="F27" s="25">
        <f t="shared" si="0"/>
        <v>1808</v>
      </c>
      <c r="H27" s="10"/>
      <c r="I27" s="11"/>
      <c r="K27" s="25"/>
    </row>
    <row r="28" spans="1:11" x14ac:dyDescent="0.25">
      <c r="A28" s="10">
        <v>25</v>
      </c>
      <c r="B28" s="11">
        <v>-761321</v>
      </c>
      <c r="C28" s="11">
        <v>-761321</v>
      </c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>
        <v>-750894</v>
      </c>
      <c r="C29" s="11">
        <v>-756284</v>
      </c>
      <c r="D29" s="11"/>
      <c r="E29" s="11"/>
      <c r="F29" s="25">
        <f t="shared" si="0"/>
        <v>-5390</v>
      </c>
      <c r="H29" s="10"/>
      <c r="I29" s="11"/>
      <c r="K29" s="25"/>
    </row>
    <row r="30" spans="1:11" x14ac:dyDescent="0.25">
      <c r="A30" s="10">
        <v>27</v>
      </c>
      <c r="B30" s="11">
        <v>-761379</v>
      </c>
      <c r="C30" s="11">
        <v>-780815</v>
      </c>
      <c r="D30" s="11">
        <v>-23481</v>
      </c>
      <c r="E30" s="11">
        <v>-25000</v>
      </c>
      <c r="F30" s="25">
        <f t="shared" si="0"/>
        <v>-20955</v>
      </c>
      <c r="H30" s="10"/>
      <c r="I30" s="11"/>
      <c r="K30" s="25"/>
    </row>
    <row r="31" spans="1:11" x14ac:dyDescent="0.25">
      <c r="A31" s="10">
        <v>28</v>
      </c>
      <c r="B31" s="11">
        <v>-587827</v>
      </c>
      <c r="C31" s="11">
        <v>-597627</v>
      </c>
      <c r="D31" s="11">
        <v>-1</v>
      </c>
      <c r="E31" s="11"/>
      <c r="F31" s="25">
        <f t="shared" si="0"/>
        <v>-9799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-20637424</v>
      </c>
      <c r="C35" s="11">
        <f>SUM(C4:C34)</f>
        <v>-20617345</v>
      </c>
      <c r="D35" s="11">
        <f>SUM(D4:D34)</f>
        <v>-370301</v>
      </c>
      <c r="E35" s="11">
        <f>SUM(E4:E34)</f>
        <v>-360000</v>
      </c>
      <c r="F35" s="11">
        <f>SUM(F4:F34)</f>
        <v>30380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37072</v>
      </c>
      <c r="F38" s="376">
        <v>123192</v>
      </c>
    </row>
    <row r="39" spans="1:45" x14ac:dyDescent="0.25">
      <c r="A39" s="2"/>
      <c r="F39" s="24"/>
    </row>
    <row r="40" spans="1:45" x14ac:dyDescent="0.25">
      <c r="A40" s="57">
        <v>37100</v>
      </c>
      <c r="F40" s="51">
        <f>+F38+F35</f>
        <v>153572</v>
      </c>
    </row>
    <row r="42" spans="1:45" x14ac:dyDescent="0.25">
      <c r="AF42" s="309"/>
      <c r="AG42" s="309"/>
      <c r="AH42" s="309"/>
      <c r="AI42" s="309"/>
      <c r="AJ42" s="309"/>
      <c r="AK42" s="309"/>
      <c r="AL42" s="309"/>
      <c r="AM42" s="309"/>
      <c r="AN42" s="309"/>
      <c r="AO42" s="309"/>
      <c r="AP42" s="309"/>
      <c r="AQ42" s="309"/>
      <c r="AR42" s="309"/>
      <c r="AS42" s="309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10"/>
      <c r="AG43" s="309"/>
      <c r="AH43" s="309"/>
      <c r="AI43" s="311"/>
      <c r="AJ43" s="310"/>
      <c r="AK43" s="309"/>
      <c r="AL43" s="309"/>
      <c r="AM43" s="311"/>
      <c r="AN43" s="310"/>
      <c r="AO43" s="309"/>
      <c r="AP43" s="309"/>
      <c r="AQ43" s="309"/>
      <c r="AR43" s="309"/>
      <c r="AS43" s="309"/>
    </row>
    <row r="44" spans="1:45" x14ac:dyDescent="0.25">
      <c r="K44"/>
      <c r="AF44" s="309"/>
      <c r="AG44" s="309"/>
      <c r="AH44" s="309"/>
      <c r="AI44" s="309"/>
      <c r="AJ44" s="309"/>
      <c r="AK44" s="309"/>
      <c r="AL44" s="309"/>
      <c r="AM44" s="309"/>
      <c r="AN44" s="309"/>
      <c r="AO44" s="309"/>
      <c r="AP44" s="309"/>
      <c r="AQ44" s="309"/>
      <c r="AR44" s="309"/>
      <c r="AS44" s="309"/>
    </row>
    <row r="45" spans="1:45" x14ac:dyDescent="0.25">
      <c r="A45" s="5"/>
      <c r="B45" s="6"/>
      <c r="C45" s="6"/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2"/>
      <c r="AG45" s="312"/>
      <c r="AH45" s="309"/>
      <c r="AI45" s="313"/>
      <c r="AJ45" s="312"/>
      <c r="AK45" s="312"/>
      <c r="AL45" s="309"/>
      <c r="AM45" s="313"/>
      <c r="AN45" s="312"/>
      <c r="AO45" s="312"/>
      <c r="AP45" s="309"/>
      <c r="AQ45" s="309"/>
      <c r="AR45" s="309"/>
      <c r="AS45" s="309"/>
    </row>
    <row r="46" spans="1:45" x14ac:dyDescent="0.25">
      <c r="A46" s="10"/>
      <c r="B46" s="11"/>
      <c r="C46" s="11"/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4"/>
      <c r="AG46" s="314"/>
      <c r="AH46" s="315"/>
      <c r="AI46" s="316"/>
      <c r="AJ46" s="314"/>
      <c r="AK46" s="314"/>
      <c r="AL46" s="315"/>
      <c r="AM46" s="316"/>
      <c r="AN46" s="314"/>
      <c r="AO46" s="314"/>
      <c r="AP46" s="315"/>
      <c r="AQ46" s="309"/>
      <c r="AR46" s="309"/>
      <c r="AS46" s="309"/>
    </row>
    <row r="47" spans="1:45" x14ac:dyDescent="0.25">
      <c r="A47" s="10"/>
      <c r="B47" s="11"/>
      <c r="C47" s="11"/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4"/>
      <c r="AG47" s="314"/>
      <c r="AH47" s="315"/>
      <c r="AI47" s="316"/>
      <c r="AJ47" s="314"/>
      <c r="AK47" s="314"/>
      <c r="AL47" s="315"/>
      <c r="AM47" s="316"/>
      <c r="AN47" s="314"/>
      <c r="AO47" s="314"/>
      <c r="AP47" s="315"/>
      <c r="AQ47" s="309"/>
      <c r="AR47" s="309"/>
      <c r="AS47" s="309"/>
    </row>
    <row r="48" spans="1:45" x14ac:dyDescent="0.25">
      <c r="A48" s="10"/>
      <c r="B48" s="11"/>
      <c r="C48" s="11"/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4"/>
      <c r="AG48" s="314"/>
      <c r="AH48" s="315"/>
      <c r="AI48" s="316"/>
      <c r="AJ48" s="314"/>
      <c r="AK48" s="314"/>
      <c r="AL48" s="315"/>
      <c r="AM48" s="316"/>
      <c r="AN48" s="314"/>
      <c r="AO48" s="314"/>
      <c r="AP48" s="315"/>
      <c r="AQ48" s="309"/>
      <c r="AR48" s="309"/>
      <c r="AS48" s="309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4"/>
      <c r="AG49" s="314"/>
      <c r="AH49" s="315"/>
      <c r="AI49" s="316"/>
      <c r="AJ49" s="314"/>
      <c r="AK49" s="314"/>
      <c r="AL49" s="315"/>
      <c r="AM49" s="316"/>
      <c r="AN49" s="314"/>
      <c r="AO49" s="314"/>
      <c r="AP49" s="315"/>
      <c r="AQ49" s="309"/>
      <c r="AR49" s="309"/>
      <c r="AS49" s="309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4"/>
      <c r="AG50" s="314"/>
      <c r="AH50" s="315"/>
      <c r="AI50" s="316"/>
      <c r="AJ50" s="314"/>
      <c r="AK50" s="314"/>
      <c r="AL50" s="315"/>
      <c r="AM50" s="316"/>
      <c r="AN50" s="314"/>
      <c r="AO50" s="314"/>
      <c r="AP50" s="315"/>
      <c r="AQ50" s="309"/>
      <c r="AR50" s="309"/>
      <c r="AS50" s="309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4"/>
      <c r="AG51" s="314"/>
      <c r="AH51" s="315"/>
      <c r="AI51" s="316"/>
      <c r="AJ51" s="314"/>
      <c r="AK51" s="314"/>
      <c r="AL51" s="315"/>
      <c r="AM51" s="316"/>
      <c r="AN51" s="314"/>
      <c r="AO51" s="314"/>
      <c r="AP51" s="315"/>
      <c r="AQ51" s="309"/>
      <c r="AR51" s="309"/>
      <c r="AS51" s="309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4"/>
      <c r="AG52" s="314"/>
      <c r="AH52" s="315"/>
      <c r="AI52" s="316"/>
      <c r="AJ52" s="314"/>
      <c r="AK52" s="314"/>
      <c r="AL52" s="315"/>
      <c r="AM52" s="316"/>
      <c r="AN52" s="314"/>
      <c r="AO52" s="314"/>
      <c r="AP52" s="315"/>
      <c r="AQ52" s="309"/>
      <c r="AR52" s="309"/>
      <c r="AS52" s="309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4"/>
      <c r="AG53" s="314"/>
      <c r="AH53" s="315"/>
      <c r="AI53" s="316"/>
      <c r="AJ53" s="314"/>
      <c r="AK53" s="314"/>
      <c r="AL53" s="315"/>
      <c r="AM53" s="316"/>
      <c r="AN53" s="314"/>
      <c r="AO53" s="314"/>
      <c r="AP53" s="315"/>
      <c r="AQ53" s="309"/>
      <c r="AR53" s="309"/>
      <c r="AS53" s="309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4"/>
      <c r="AG54" s="314"/>
      <c r="AH54" s="315"/>
      <c r="AI54" s="316"/>
      <c r="AJ54" s="314"/>
      <c r="AK54" s="314"/>
      <c r="AL54" s="315"/>
      <c r="AM54" s="316"/>
      <c r="AN54" s="314"/>
      <c r="AO54" s="314"/>
      <c r="AP54" s="315"/>
      <c r="AQ54" s="309"/>
      <c r="AR54" s="309"/>
      <c r="AS54" s="309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4"/>
      <c r="AG55" s="314"/>
      <c r="AH55" s="315"/>
      <c r="AI55" s="316"/>
      <c r="AJ55" s="314"/>
      <c r="AK55" s="314"/>
      <c r="AL55" s="315"/>
      <c r="AM55" s="316"/>
      <c r="AN55" s="314"/>
      <c r="AO55" s="314"/>
      <c r="AP55" s="315"/>
      <c r="AQ55" s="309"/>
      <c r="AR55" s="309"/>
      <c r="AS55" s="309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4"/>
      <c r="AG56" s="314"/>
      <c r="AH56" s="315"/>
      <c r="AI56" s="316"/>
      <c r="AJ56" s="314"/>
      <c r="AK56" s="314"/>
      <c r="AL56" s="315"/>
      <c r="AM56" s="316"/>
      <c r="AN56" s="314"/>
      <c r="AO56" s="314"/>
      <c r="AP56" s="315"/>
      <c r="AQ56" s="309"/>
      <c r="AR56" s="309"/>
      <c r="AS56" s="309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4"/>
      <c r="AG57" s="314"/>
      <c r="AH57" s="315"/>
      <c r="AI57" s="316"/>
      <c r="AJ57" s="314"/>
      <c r="AK57" s="314"/>
      <c r="AL57" s="315"/>
      <c r="AM57" s="316"/>
      <c r="AN57" s="314"/>
      <c r="AO57" s="314"/>
      <c r="AP57" s="315"/>
      <c r="AQ57" s="309"/>
      <c r="AR57" s="309"/>
      <c r="AS57" s="309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4"/>
      <c r="AG58" s="314"/>
      <c r="AH58" s="315"/>
      <c r="AI58" s="316"/>
      <c r="AJ58" s="314"/>
      <c r="AK58" s="314"/>
      <c r="AL58" s="315"/>
      <c r="AM58" s="316"/>
      <c r="AN58" s="314"/>
      <c r="AO58" s="314"/>
      <c r="AP58" s="315"/>
      <c r="AQ58" s="309"/>
      <c r="AR58" s="309"/>
      <c r="AS58" s="309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4"/>
      <c r="AG59" s="314"/>
      <c r="AH59" s="315"/>
      <c r="AI59" s="316"/>
      <c r="AJ59" s="314"/>
      <c r="AK59" s="314"/>
      <c r="AL59" s="315"/>
      <c r="AM59" s="316"/>
      <c r="AN59" s="314"/>
      <c r="AO59" s="314"/>
      <c r="AP59" s="315"/>
      <c r="AQ59" s="309"/>
      <c r="AR59" s="309"/>
      <c r="AS59" s="309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4"/>
      <c r="AG60" s="314"/>
      <c r="AH60" s="315"/>
      <c r="AI60" s="316"/>
      <c r="AJ60" s="314"/>
      <c r="AK60" s="314"/>
      <c r="AL60" s="315"/>
      <c r="AM60" s="316"/>
      <c r="AN60" s="314"/>
      <c r="AO60" s="314"/>
      <c r="AP60" s="315"/>
      <c r="AQ60" s="309"/>
      <c r="AR60" s="309"/>
      <c r="AS60" s="309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4"/>
      <c r="AG61" s="314"/>
      <c r="AH61" s="315"/>
      <c r="AI61" s="316"/>
      <c r="AJ61" s="314"/>
      <c r="AK61" s="314"/>
      <c r="AL61" s="315"/>
      <c r="AM61" s="316"/>
      <c r="AN61" s="314"/>
      <c r="AO61" s="314"/>
      <c r="AP61" s="315"/>
      <c r="AQ61" s="309"/>
      <c r="AR61" s="309"/>
      <c r="AS61" s="309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4"/>
      <c r="AG62" s="314"/>
      <c r="AH62" s="315"/>
      <c r="AI62" s="316"/>
      <c r="AJ62" s="314"/>
      <c r="AK62" s="314"/>
      <c r="AL62" s="315"/>
      <c r="AM62" s="316"/>
      <c r="AN62" s="314"/>
      <c r="AO62" s="314"/>
      <c r="AP62" s="315"/>
      <c r="AQ62" s="309"/>
      <c r="AR62" s="309"/>
      <c r="AS62" s="309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4"/>
      <c r="AG63" s="314"/>
      <c r="AH63" s="315"/>
      <c r="AI63" s="316"/>
      <c r="AJ63" s="314"/>
      <c r="AK63" s="314"/>
      <c r="AL63" s="315"/>
      <c r="AM63" s="316"/>
      <c r="AN63" s="314"/>
      <c r="AO63" s="314"/>
      <c r="AP63" s="315"/>
      <c r="AQ63" s="309"/>
      <c r="AR63" s="309"/>
      <c r="AS63" s="309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4"/>
      <c r="AG64" s="314"/>
      <c r="AH64" s="315"/>
      <c r="AI64" s="316"/>
      <c r="AJ64" s="314"/>
      <c r="AK64" s="314"/>
      <c r="AL64" s="315"/>
      <c r="AM64" s="316"/>
      <c r="AN64" s="314"/>
      <c r="AO64" s="314"/>
      <c r="AP64" s="315"/>
      <c r="AQ64" s="309"/>
      <c r="AR64" s="309"/>
      <c r="AS64" s="309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4"/>
      <c r="AG65" s="314"/>
      <c r="AH65" s="315"/>
      <c r="AI65" s="316"/>
      <c r="AJ65" s="314"/>
      <c r="AK65" s="314"/>
      <c r="AL65" s="315"/>
      <c r="AM65" s="316"/>
      <c r="AN65" s="314"/>
      <c r="AO65" s="314"/>
      <c r="AP65" s="315"/>
      <c r="AQ65" s="309"/>
      <c r="AR65" s="309"/>
      <c r="AS65" s="309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4"/>
      <c r="AG66" s="314"/>
      <c r="AH66" s="315"/>
      <c r="AI66" s="316"/>
      <c r="AJ66" s="314"/>
      <c r="AK66" s="314"/>
      <c r="AL66" s="315"/>
      <c r="AM66" s="316"/>
      <c r="AN66" s="314"/>
      <c r="AO66" s="314"/>
      <c r="AP66" s="315"/>
      <c r="AQ66" s="309"/>
      <c r="AR66" s="309"/>
      <c r="AS66" s="309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4"/>
      <c r="AG67" s="314"/>
      <c r="AH67" s="315"/>
      <c r="AI67" s="316"/>
      <c r="AJ67" s="314"/>
      <c r="AK67" s="314"/>
      <c r="AL67" s="315"/>
      <c r="AM67" s="316"/>
      <c r="AN67" s="314"/>
      <c r="AO67" s="314"/>
      <c r="AP67" s="315"/>
      <c r="AQ67" s="309"/>
      <c r="AR67" s="309"/>
      <c r="AS67" s="309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4"/>
      <c r="AG68" s="314"/>
      <c r="AH68" s="315"/>
      <c r="AI68" s="316"/>
      <c r="AJ68" s="314"/>
      <c r="AK68" s="314"/>
      <c r="AL68" s="315"/>
      <c r="AM68" s="316"/>
      <c r="AN68" s="314"/>
      <c r="AO68" s="314"/>
      <c r="AP68" s="315"/>
      <c r="AQ68" s="309"/>
      <c r="AR68" s="309"/>
      <c r="AS68" s="309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4"/>
      <c r="AG69" s="314"/>
      <c r="AH69" s="315"/>
      <c r="AI69" s="316"/>
      <c r="AJ69" s="314"/>
      <c r="AK69" s="314"/>
      <c r="AL69" s="315"/>
      <c r="AM69" s="316"/>
      <c r="AN69" s="314"/>
      <c r="AO69" s="314"/>
      <c r="AP69" s="315"/>
      <c r="AQ69" s="309"/>
      <c r="AR69" s="309"/>
      <c r="AS69" s="309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4"/>
      <c r="AG70" s="314"/>
      <c r="AH70" s="315"/>
      <c r="AI70" s="316"/>
      <c r="AJ70" s="314"/>
      <c r="AK70" s="314"/>
      <c r="AL70" s="315"/>
      <c r="AM70" s="316"/>
      <c r="AN70" s="314"/>
      <c r="AO70" s="314"/>
      <c r="AP70" s="315"/>
      <c r="AQ70" s="309"/>
      <c r="AR70" s="309"/>
      <c r="AS70" s="309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4"/>
      <c r="AG71" s="314"/>
      <c r="AH71" s="315"/>
      <c r="AI71" s="316"/>
      <c r="AJ71" s="314"/>
      <c r="AK71" s="314"/>
      <c r="AL71" s="315"/>
      <c r="AM71" s="316"/>
      <c r="AN71" s="314"/>
      <c r="AO71" s="314"/>
      <c r="AP71" s="315"/>
      <c r="AQ71" s="309"/>
      <c r="AR71" s="309"/>
      <c r="AS71" s="309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4"/>
      <c r="AG72" s="314"/>
      <c r="AH72" s="315"/>
      <c r="AI72" s="316"/>
      <c r="AJ72" s="314"/>
      <c r="AK72" s="314"/>
      <c r="AL72" s="315"/>
      <c r="AM72" s="316"/>
      <c r="AN72" s="314"/>
      <c r="AO72" s="314"/>
      <c r="AP72" s="315"/>
      <c r="AQ72" s="309"/>
      <c r="AR72" s="309"/>
      <c r="AS72" s="309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4"/>
      <c r="AG73" s="314"/>
      <c r="AH73" s="315"/>
      <c r="AI73" s="316"/>
      <c r="AJ73" s="314"/>
      <c r="AK73" s="314"/>
      <c r="AL73" s="315"/>
      <c r="AM73" s="316"/>
      <c r="AN73" s="314"/>
      <c r="AO73" s="314"/>
      <c r="AP73" s="315"/>
      <c r="AQ73" s="309"/>
      <c r="AR73" s="309"/>
      <c r="AS73" s="309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4"/>
      <c r="AG74" s="314"/>
      <c r="AH74" s="315"/>
      <c r="AI74" s="316"/>
      <c r="AJ74" s="314"/>
      <c r="AK74" s="314"/>
      <c r="AL74" s="315"/>
      <c r="AM74" s="316"/>
      <c r="AN74" s="314"/>
      <c r="AO74" s="314"/>
      <c r="AP74" s="315"/>
      <c r="AQ74" s="309"/>
      <c r="AR74" s="309"/>
      <c r="AS74" s="309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4"/>
      <c r="AG75" s="314"/>
      <c r="AH75" s="315"/>
      <c r="AI75" s="316"/>
      <c r="AJ75" s="314"/>
      <c r="AK75" s="314"/>
      <c r="AL75" s="315"/>
      <c r="AM75" s="316"/>
      <c r="AN75" s="314"/>
      <c r="AO75" s="314"/>
      <c r="AP75" s="315"/>
      <c r="AQ75" s="309"/>
      <c r="AR75" s="309"/>
      <c r="AS75" s="309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4"/>
      <c r="AG76" s="314"/>
      <c r="AH76" s="315"/>
      <c r="AI76" s="316"/>
      <c r="AJ76" s="314"/>
      <c r="AK76" s="314"/>
      <c r="AL76" s="315"/>
      <c r="AM76" s="316"/>
      <c r="AN76" s="314"/>
      <c r="AO76" s="314"/>
      <c r="AP76" s="315"/>
      <c r="AQ76" s="309"/>
      <c r="AR76" s="309"/>
      <c r="AS76" s="309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4"/>
      <c r="AG77" s="314"/>
      <c r="AH77" s="314"/>
      <c r="AI77" s="316"/>
      <c r="AJ77" s="314"/>
      <c r="AK77" s="314"/>
      <c r="AL77" s="314"/>
      <c r="AM77" s="316"/>
      <c r="AN77" s="314"/>
      <c r="AO77" s="314"/>
      <c r="AP77" s="314"/>
      <c r="AQ77" s="309"/>
      <c r="AR77" s="309"/>
      <c r="AS77" s="309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9"/>
      <c r="AG78" s="315"/>
      <c r="AH78" s="317"/>
      <c r="AI78" s="318"/>
      <c r="AJ78" s="309"/>
      <c r="AK78" s="315"/>
      <c r="AL78" s="317"/>
      <c r="AM78" s="318"/>
      <c r="AN78" s="309"/>
      <c r="AO78" s="315"/>
      <c r="AP78" s="317"/>
      <c r="AQ78" s="309"/>
      <c r="AR78" s="309"/>
      <c r="AS78" s="309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9"/>
      <c r="AG79" s="309"/>
      <c r="AH79" s="319"/>
      <c r="AI79" s="309"/>
      <c r="AJ79" s="309"/>
      <c r="AK79" s="309"/>
      <c r="AL79" s="319"/>
      <c r="AM79" s="309"/>
      <c r="AN79" s="309"/>
      <c r="AO79" s="309"/>
      <c r="AP79" s="319"/>
      <c r="AQ79" s="309"/>
      <c r="AR79" s="309"/>
      <c r="AS79" s="309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9"/>
      <c r="AG80" s="309"/>
      <c r="AH80" s="319"/>
      <c r="AI80" s="320"/>
      <c r="AJ80" s="309"/>
      <c r="AK80" s="309"/>
      <c r="AL80" s="319"/>
      <c r="AM80" s="320"/>
      <c r="AN80" s="309"/>
      <c r="AO80" s="309"/>
      <c r="AP80" s="319"/>
      <c r="AQ80" s="309"/>
      <c r="AR80" s="309"/>
      <c r="AS80" s="309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9"/>
      <c r="AG81" s="309"/>
      <c r="AH81" s="319"/>
      <c r="AI81" s="317"/>
      <c r="AJ81" s="309"/>
      <c r="AK81" s="309"/>
      <c r="AL81" s="319"/>
      <c r="AM81" s="317"/>
      <c r="AN81" s="309"/>
      <c r="AO81" s="309"/>
      <c r="AP81" s="319"/>
      <c r="AQ81" s="309"/>
      <c r="AR81" s="309"/>
      <c r="AS81" s="309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9"/>
      <c r="AG82" s="309"/>
      <c r="AH82" s="319"/>
      <c r="AI82" s="320"/>
      <c r="AJ82" s="309"/>
      <c r="AK82" s="309"/>
      <c r="AL82" s="319"/>
      <c r="AM82" s="320"/>
      <c r="AN82" s="309"/>
      <c r="AO82" s="309"/>
      <c r="AP82" s="319"/>
      <c r="AQ82" s="309"/>
      <c r="AR82" s="309"/>
      <c r="AS82" s="309"/>
    </row>
    <row r="83" spans="4:45" x14ac:dyDescent="0.25">
      <c r="AE83" s="32"/>
      <c r="AF83" s="309"/>
      <c r="AG83" s="309"/>
      <c r="AH83" s="309"/>
      <c r="AI83" s="309"/>
      <c r="AJ83" s="309"/>
      <c r="AK83" s="309"/>
      <c r="AL83" s="309"/>
      <c r="AM83" s="309"/>
      <c r="AN83" s="309"/>
      <c r="AO83" s="309"/>
      <c r="AP83" s="309"/>
      <c r="AQ83" s="309"/>
      <c r="AR83" s="309"/>
      <c r="AS83" s="309"/>
    </row>
    <row r="84" spans="4:45" x14ac:dyDescent="0.25">
      <c r="AE84" s="32"/>
      <c r="AF84" s="309"/>
      <c r="AG84" s="309"/>
      <c r="AH84" s="309"/>
      <c r="AI84" s="309"/>
      <c r="AJ84" s="309"/>
      <c r="AK84" s="309"/>
      <c r="AL84" s="309"/>
      <c r="AM84" s="309"/>
      <c r="AN84" s="309"/>
      <c r="AO84" s="309"/>
      <c r="AP84" s="309"/>
      <c r="AQ84" s="309"/>
      <c r="AR84" s="309"/>
      <c r="AS84" s="309"/>
    </row>
    <row r="85" spans="4:45" x14ac:dyDescent="0.25">
      <c r="AF85" s="309"/>
      <c r="AG85" s="309"/>
      <c r="AH85" s="309"/>
      <c r="AI85" s="309"/>
      <c r="AJ85" s="309"/>
      <c r="AK85" s="309"/>
      <c r="AL85" s="309"/>
      <c r="AM85" s="309"/>
      <c r="AN85" s="309"/>
      <c r="AO85" s="309"/>
      <c r="AP85" s="309"/>
      <c r="AQ85" s="309"/>
      <c r="AR85" s="309"/>
      <c r="AS85" s="309"/>
    </row>
    <row r="86" spans="4:45" x14ac:dyDescent="0.25">
      <c r="AF86" s="309"/>
      <c r="AG86" s="309"/>
      <c r="AH86" s="309"/>
      <c r="AI86" s="309"/>
      <c r="AJ86" s="309"/>
      <c r="AK86" s="309"/>
      <c r="AL86" s="309"/>
      <c r="AM86" s="309"/>
      <c r="AN86" s="309"/>
      <c r="AO86" s="309"/>
      <c r="AP86" s="309"/>
      <c r="AQ86" s="309"/>
      <c r="AR86" s="309"/>
      <c r="AS86" s="309"/>
    </row>
    <row r="87" spans="4:45" x14ac:dyDescent="0.25">
      <c r="AF87" s="309"/>
      <c r="AG87" s="309"/>
      <c r="AH87" s="309"/>
      <c r="AI87" s="309"/>
      <c r="AJ87" s="309"/>
      <c r="AK87" s="309"/>
      <c r="AL87" s="309"/>
      <c r="AM87" s="309"/>
      <c r="AN87" s="309"/>
      <c r="AO87" s="309"/>
      <c r="AP87" s="309"/>
      <c r="AQ87" s="309"/>
      <c r="AR87" s="309"/>
      <c r="AS87" s="309"/>
    </row>
    <row r="88" spans="4:45" x14ac:dyDescent="0.25">
      <c r="AF88" s="309"/>
      <c r="AG88" s="309"/>
      <c r="AH88" s="309"/>
      <c r="AI88" s="309"/>
      <c r="AJ88" s="309"/>
      <c r="AK88" s="309"/>
      <c r="AL88" s="309"/>
      <c r="AM88" s="309"/>
      <c r="AN88" s="309"/>
      <c r="AO88" s="309"/>
      <c r="AP88" s="309"/>
      <c r="AQ88" s="309"/>
      <c r="AR88" s="309"/>
      <c r="AS88" s="309"/>
    </row>
    <row r="89" spans="4:45" x14ac:dyDescent="0.25">
      <c r="AF89" s="309"/>
      <c r="AG89" s="309"/>
      <c r="AH89" s="309"/>
      <c r="AI89" s="309"/>
      <c r="AJ89" s="309"/>
      <c r="AK89" s="309"/>
      <c r="AL89" s="309"/>
      <c r="AM89" s="309"/>
      <c r="AN89" s="309"/>
      <c r="AO89" s="309"/>
      <c r="AP89" s="309"/>
      <c r="AQ89" s="309"/>
      <c r="AR89" s="309"/>
      <c r="AS89" s="309"/>
    </row>
    <row r="90" spans="4:45" x14ac:dyDescent="0.25">
      <c r="AF90" s="309"/>
      <c r="AG90" s="309"/>
      <c r="AH90" s="309"/>
      <c r="AI90" s="309"/>
      <c r="AJ90" s="309"/>
      <c r="AK90" s="309"/>
      <c r="AL90" s="309"/>
      <c r="AM90" s="309"/>
      <c r="AN90" s="309"/>
      <c r="AO90" s="309"/>
      <c r="AP90" s="309"/>
      <c r="AQ90" s="309"/>
      <c r="AR90" s="309"/>
      <c r="AS90" s="309"/>
    </row>
    <row r="91" spans="4:45" x14ac:dyDescent="0.25">
      <c r="AF91" s="309"/>
      <c r="AG91" s="309"/>
      <c r="AH91" s="309"/>
      <c r="AI91" s="309"/>
      <c r="AJ91" s="309"/>
      <c r="AK91" s="309"/>
      <c r="AL91" s="309"/>
      <c r="AM91" s="309"/>
      <c r="AN91" s="309"/>
      <c r="AO91" s="309"/>
      <c r="AP91" s="309"/>
      <c r="AQ91" s="309"/>
      <c r="AR91" s="309"/>
      <c r="AS91" s="309"/>
    </row>
    <row r="92" spans="4:45" x14ac:dyDescent="0.25">
      <c r="AF92" s="309"/>
      <c r="AG92" s="309"/>
      <c r="AH92" s="309"/>
      <c r="AI92" s="309"/>
      <c r="AJ92" s="309"/>
      <c r="AK92" s="309"/>
      <c r="AL92" s="309"/>
      <c r="AM92" s="309"/>
      <c r="AN92" s="309"/>
      <c r="AO92" s="309"/>
      <c r="AP92" s="309"/>
      <c r="AQ92" s="309"/>
      <c r="AR92" s="309"/>
      <c r="AS92" s="309"/>
    </row>
    <row r="93" spans="4:45" x14ac:dyDescent="0.25">
      <c r="AF93" s="309"/>
      <c r="AG93" s="309"/>
      <c r="AH93" s="309"/>
      <c r="AI93" s="309"/>
      <c r="AJ93" s="309"/>
      <c r="AK93" s="309"/>
      <c r="AL93" s="309"/>
      <c r="AM93" s="309"/>
      <c r="AN93" s="309"/>
      <c r="AO93" s="309"/>
      <c r="AP93" s="309"/>
      <c r="AQ93" s="309"/>
      <c r="AR93" s="309"/>
      <c r="AS93" s="309"/>
    </row>
    <row r="94" spans="4:45" x14ac:dyDescent="0.25">
      <c r="AF94" s="309"/>
      <c r="AG94" s="309"/>
      <c r="AH94" s="309"/>
      <c r="AI94" s="309"/>
      <c r="AJ94" s="309"/>
      <c r="AK94" s="309"/>
      <c r="AL94" s="309"/>
      <c r="AM94" s="309"/>
      <c r="AN94" s="309"/>
      <c r="AO94" s="309"/>
      <c r="AP94" s="309"/>
      <c r="AQ94" s="309"/>
      <c r="AR94" s="309"/>
      <c r="AS94" s="309"/>
    </row>
    <row r="95" spans="4:45" x14ac:dyDescent="0.25">
      <c r="AF95" s="309"/>
      <c r="AG95" s="309"/>
      <c r="AH95" s="309"/>
      <c r="AI95" s="309"/>
      <c r="AJ95" s="309"/>
      <c r="AK95" s="309"/>
      <c r="AL95" s="309"/>
      <c r="AM95" s="309"/>
      <c r="AN95" s="309"/>
      <c r="AO95" s="309"/>
      <c r="AP95" s="309"/>
      <c r="AQ95" s="309"/>
      <c r="AR95" s="309"/>
      <c r="AS95" s="309"/>
    </row>
    <row r="96" spans="4:45" x14ac:dyDescent="0.25">
      <c r="AF96" s="309"/>
      <c r="AG96" s="309"/>
      <c r="AH96" s="309"/>
      <c r="AI96" s="309"/>
      <c r="AJ96" s="309"/>
      <c r="AK96" s="309"/>
      <c r="AL96" s="309"/>
      <c r="AM96" s="309"/>
      <c r="AN96" s="309"/>
      <c r="AO96" s="309"/>
      <c r="AP96" s="309"/>
      <c r="AQ96" s="309"/>
      <c r="AR96" s="309"/>
      <c r="AS96" s="309"/>
    </row>
    <row r="97" spans="32:45" x14ac:dyDescent="0.25">
      <c r="AF97" s="309"/>
      <c r="AG97" s="309"/>
      <c r="AH97" s="309"/>
      <c r="AI97" s="309"/>
      <c r="AJ97" s="309"/>
      <c r="AK97" s="309"/>
      <c r="AL97" s="309"/>
      <c r="AM97" s="309"/>
      <c r="AN97" s="309"/>
      <c r="AO97" s="309"/>
      <c r="AP97" s="309"/>
      <c r="AQ97" s="309"/>
      <c r="AR97" s="309"/>
      <c r="AS97" s="309"/>
    </row>
    <row r="98" spans="32:45" x14ac:dyDescent="0.25">
      <c r="AF98" s="309"/>
      <c r="AG98" s="309"/>
      <c r="AH98" s="309"/>
      <c r="AI98" s="309"/>
      <c r="AJ98" s="309"/>
      <c r="AK98" s="309"/>
      <c r="AL98" s="309"/>
      <c r="AM98" s="309"/>
      <c r="AN98" s="309"/>
      <c r="AO98" s="309"/>
      <c r="AP98" s="309"/>
      <c r="AQ98" s="309"/>
      <c r="AR98" s="309"/>
      <c r="AS98" s="309"/>
    </row>
    <row r="99" spans="32:45" x14ac:dyDescent="0.25">
      <c r="AF99" s="309"/>
      <c r="AG99" s="309"/>
      <c r="AH99" s="309"/>
      <c r="AI99" s="309"/>
      <c r="AJ99" s="309"/>
      <c r="AK99" s="309"/>
      <c r="AL99" s="309"/>
      <c r="AM99" s="309"/>
      <c r="AN99" s="309"/>
      <c r="AO99" s="309"/>
      <c r="AP99" s="309"/>
      <c r="AQ99" s="309"/>
      <c r="AR99" s="309"/>
      <c r="AS99" s="309"/>
    </row>
    <row r="100" spans="32:45" x14ac:dyDescent="0.25">
      <c r="AF100" s="309"/>
      <c r="AG100" s="309"/>
      <c r="AH100" s="309"/>
      <c r="AI100" s="309"/>
      <c r="AJ100" s="309"/>
      <c r="AK100" s="309"/>
      <c r="AL100" s="309"/>
      <c r="AM100" s="309"/>
      <c r="AN100" s="309"/>
      <c r="AO100" s="309"/>
      <c r="AP100" s="309"/>
      <c r="AQ100" s="309"/>
      <c r="AR100" s="309"/>
      <c r="AS100" s="309"/>
    </row>
    <row r="101" spans="32:45" x14ac:dyDescent="0.25">
      <c r="AF101" s="309"/>
      <c r="AG101" s="309"/>
      <c r="AH101" s="309"/>
      <c r="AI101" s="309"/>
      <c r="AJ101" s="309"/>
      <c r="AK101" s="309"/>
      <c r="AL101" s="309"/>
      <c r="AM101" s="309"/>
      <c r="AN101" s="309"/>
      <c r="AO101" s="309"/>
      <c r="AP101" s="309"/>
      <c r="AQ101" s="309"/>
      <c r="AR101" s="309"/>
      <c r="AS101" s="309"/>
    </row>
    <row r="102" spans="32:45" x14ac:dyDescent="0.25">
      <c r="AF102" s="309"/>
      <c r="AG102" s="309"/>
      <c r="AH102" s="309"/>
      <c r="AI102" s="309"/>
      <c r="AJ102" s="309"/>
      <c r="AK102" s="309"/>
      <c r="AL102" s="309"/>
      <c r="AM102" s="309"/>
      <c r="AN102" s="309"/>
      <c r="AO102" s="309"/>
      <c r="AP102" s="309"/>
      <c r="AQ102" s="309"/>
      <c r="AR102" s="309"/>
      <c r="AS102" s="309"/>
    </row>
    <row r="103" spans="32:45" x14ac:dyDescent="0.25">
      <c r="AF103" s="309"/>
      <c r="AG103" s="309"/>
      <c r="AH103" s="309"/>
      <c r="AI103" s="309"/>
      <c r="AJ103" s="309"/>
      <c r="AK103" s="309"/>
      <c r="AL103" s="309"/>
      <c r="AM103" s="309"/>
      <c r="AN103" s="309"/>
      <c r="AO103" s="309"/>
      <c r="AP103" s="309"/>
      <c r="AQ103" s="309"/>
      <c r="AR103" s="309"/>
      <c r="AS103" s="309"/>
    </row>
    <row r="104" spans="32:45" x14ac:dyDescent="0.25">
      <c r="AF104" s="309"/>
      <c r="AG104" s="309"/>
      <c r="AH104" s="309"/>
      <c r="AI104" s="309"/>
      <c r="AJ104" s="309"/>
      <c r="AK104" s="309"/>
      <c r="AL104" s="309"/>
      <c r="AM104" s="309"/>
      <c r="AN104" s="309"/>
      <c r="AO104" s="309"/>
      <c r="AP104" s="309"/>
      <c r="AQ104" s="309"/>
      <c r="AR104" s="309"/>
      <c r="AS104" s="309"/>
    </row>
    <row r="105" spans="32:45" x14ac:dyDescent="0.25">
      <c r="AF105" s="309"/>
      <c r="AG105" s="309"/>
      <c r="AH105" s="309"/>
      <c r="AI105" s="309"/>
      <c r="AJ105" s="309"/>
      <c r="AK105" s="309"/>
      <c r="AL105" s="309"/>
      <c r="AM105" s="309"/>
      <c r="AN105" s="309"/>
      <c r="AO105" s="309"/>
      <c r="AP105" s="309"/>
      <c r="AQ105" s="309"/>
      <c r="AR105" s="309"/>
      <c r="AS105" s="30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B45" sqref="B45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2" width="10.44140625" style="32" bestFit="1" customWidth="1"/>
    <col min="13" max="13" width="9.109375" style="32"/>
    <col min="14" max="14" width="12" style="32" bestFit="1" customWidth="1"/>
    <col min="15" max="21" width="9.109375" style="32"/>
    <col min="22" max="22" width="10.6640625" style="32" bestFit="1" customWidth="1"/>
    <col min="23" max="16384" width="9.10937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4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-129178</v>
      </c>
      <c r="C4" s="11">
        <v>-153504</v>
      </c>
      <c r="D4" s="11">
        <v>-89966</v>
      </c>
      <c r="E4" s="11">
        <v>-65118</v>
      </c>
      <c r="F4" s="11"/>
      <c r="G4" s="11"/>
      <c r="H4" s="11">
        <f>+C4+E4-B4-D4</f>
        <v>522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-129569</v>
      </c>
      <c r="C5" s="11">
        <v>-155015</v>
      </c>
      <c r="D5" s="129">
        <v>-89972</v>
      </c>
      <c r="E5" s="11">
        <v>-61792</v>
      </c>
      <c r="F5" s="11"/>
      <c r="G5" s="11"/>
      <c r="H5" s="11">
        <f t="shared" ref="H5:H34" si="0">+G5-F5+D5-E5+B5-C5</f>
        <v>-2734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-125856</v>
      </c>
      <c r="C6" s="11">
        <v>-67150</v>
      </c>
      <c r="D6" s="11">
        <v>-30212</v>
      </c>
      <c r="E6" s="11">
        <v>-89118</v>
      </c>
      <c r="F6" s="11"/>
      <c r="G6" s="11"/>
      <c r="H6" s="11">
        <f t="shared" si="0"/>
        <v>200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-138420</v>
      </c>
      <c r="C7" s="11">
        <v>-79605</v>
      </c>
      <c r="D7" s="129">
        <v>-40686</v>
      </c>
      <c r="E7" s="11">
        <v>-100150</v>
      </c>
      <c r="F7" s="11"/>
      <c r="G7" s="11"/>
      <c r="H7" s="11">
        <f t="shared" si="0"/>
        <v>649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29">
        <v>-116601</v>
      </c>
      <c r="C8" s="11">
        <v>-79232</v>
      </c>
      <c r="D8" s="11">
        <v>-41999</v>
      </c>
      <c r="E8" s="11">
        <v>-76871</v>
      </c>
      <c r="F8" s="11"/>
      <c r="G8" s="11"/>
      <c r="H8" s="11">
        <f t="shared" si="0"/>
        <v>-2497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>
        <v>-133495</v>
      </c>
      <c r="C9" s="11">
        <v>-108052</v>
      </c>
      <c r="D9" s="11">
        <v>-42001</v>
      </c>
      <c r="E9" s="11">
        <v>-66792</v>
      </c>
      <c r="F9" s="11"/>
      <c r="G9" s="11"/>
      <c r="H9" s="11">
        <f t="shared" si="0"/>
        <v>-652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29">
        <v>-143465</v>
      </c>
      <c r="C10" s="11">
        <v>-75702</v>
      </c>
      <c r="D10" s="11">
        <v>-834</v>
      </c>
      <c r="E10" s="11">
        <v>-66792</v>
      </c>
      <c r="F10" s="11"/>
      <c r="G10" s="11"/>
      <c r="H10" s="11">
        <f t="shared" si="0"/>
        <v>-1805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>
        <v>-127355</v>
      </c>
      <c r="C11" s="11">
        <v>-75467</v>
      </c>
      <c r="D11" s="129"/>
      <c r="E11" s="11">
        <v>-51848</v>
      </c>
      <c r="F11" s="11"/>
      <c r="G11" s="11"/>
      <c r="H11" s="11">
        <f t="shared" si="0"/>
        <v>-40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>
        <v>-119552</v>
      </c>
      <c r="C12" s="11">
        <v>-69013</v>
      </c>
      <c r="D12" s="11"/>
      <c r="E12" s="11">
        <v>-49805</v>
      </c>
      <c r="F12" s="11"/>
      <c r="G12" s="11"/>
      <c r="H12" s="11">
        <f t="shared" si="0"/>
        <v>-734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>
        <v>-73406</v>
      </c>
      <c r="C13" s="11">
        <v>-36039</v>
      </c>
      <c r="D13" s="11"/>
      <c r="E13" s="11">
        <v>-36904</v>
      </c>
      <c r="F13" s="11"/>
      <c r="G13" s="11"/>
      <c r="H13" s="11">
        <f t="shared" si="0"/>
        <v>-463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>
        <v>-123596</v>
      </c>
      <c r="C14" s="11">
        <v>-89549</v>
      </c>
      <c r="D14" s="11">
        <v>-36670</v>
      </c>
      <c r="E14" s="11">
        <v>-70925</v>
      </c>
      <c r="F14" s="11"/>
      <c r="G14" s="11"/>
      <c r="H14" s="11">
        <f t="shared" si="0"/>
        <v>208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>
        <v>-150791</v>
      </c>
      <c r="C15" s="11">
        <v>-126417</v>
      </c>
      <c r="D15" s="11">
        <v>-52283</v>
      </c>
      <c r="E15" s="11">
        <v>-76898</v>
      </c>
      <c r="F15" s="11"/>
      <c r="G15" s="11"/>
      <c r="H15" s="11">
        <f t="shared" si="0"/>
        <v>241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>
        <v>-147110</v>
      </c>
      <c r="C16" s="11">
        <v>-90759</v>
      </c>
      <c r="D16" s="11">
        <v>-44291</v>
      </c>
      <c r="E16" s="11">
        <v>-99922</v>
      </c>
      <c r="F16" s="11"/>
      <c r="G16" s="11"/>
      <c r="H16" s="11">
        <f t="shared" si="0"/>
        <v>-720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>
        <v>-113980</v>
      </c>
      <c r="C17" s="11">
        <v>-66719</v>
      </c>
      <c r="D17" s="11">
        <v>-1592</v>
      </c>
      <c r="E17" s="11">
        <v>-47792</v>
      </c>
      <c r="F17" s="11"/>
      <c r="G17" s="11"/>
      <c r="H17" s="11">
        <f t="shared" si="0"/>
        <v>-1061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>
        <v>-115619</v>
      </c>
      <c r="C18" s="11">
        <v>-66719</v>
      </c>
      <c r="D18" s="11"/>
      <c r="E18" s="11">
        <v>-47792</v>
      </c>
      <c r="F18" s="11"/>
      <c r="G18" s="11"/>
      <c r="H18" s="11">
        <f t="shared" si="0"/>
        <v>-1108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>
        <v>-113814</v>
      </c>
      <c r="C19" s="11">
        <v>-66719</v>
      </c>
      <c r="D19" s="11"/>
      <c r="E19" s="11">
        <v>-47792</v>
      </c>
      <c r="F19" s="11"/>
      <c r="G19" s="11"/>
      <c r="H19" s="11">
        <f t="shared" si="0"/>
        <v>697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>
        <v>-140665</v>
      </c>
      <c r="C20" s="11">
        <v>-80925</v>
      </c>
      <c r="D20" s="11"/>
      <c r="E20" s="11">
        <v>-57792</v>
      </c>
      <c r="F20" s="11"/>
      <c r="G20" s="11"/>
      <c r="H20" s="11">
        <f t="shared" si="0"/>
        <v>-1948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>
        <v>-110015</v>
      </c>
      <c r="C21" s="11">
        <v>-55144</v>
      </c>
      <c r="D21" s="11"/>
      <c r="E21" s="11">
        <v>-51792</v>
      </c>
      <c r="F21" s="11"/>
      <c r="G21" s="11"/>
      <c r="H21" s="11">
        <f t="shared" si="0"/>
        <v>-3079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>
        <v>-91330</v>
      </c>
      <c r="C22" s="11">
        <v>-60904</v>
      </c>
      <c r="D22" s="11">
        <v>-25963</v>
      </c>
      <c r="E22" s="11">
        <v>-56214</v>
      </c>
      <c r="F22" s="11"/>
      <c r="G22" s="11"/>
      <c r="H22" s="11">
        <f t="shared" si="0"/>
        <v>-175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>
        <v>-97584</v>
      </c>
      <c r="C23" s="11">
        <v>-45925</v>
      </c>
      <c r="D23" s="11">
        <v>-1341</v>
      </c>
      <c r="E23" s="11">
        <v>-51881</v>
      </c>
      <c r="F23" s="11"/>
      <c r="G23" s="11"/>
      <c r="H23" s="11">
        <f t="shared" si="0"/>
        <v>-1119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>
        <v>-133040</v>
      </c>
      <c r="C24" s="11">
        <v>-85720</v>
      </c>
      <c r="D24" s="11">
        <v>-39861</v>
      </c>
      <c r="E24" s="11">
        <v>-65742</v>
      </c>
      <c r="F24" s="11"/>
      <c r="G24" s="11"/>
      <c r="H24" s="11">
        <f t="shared" si="0"/>
        <v>-21439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>
        <v>-135181</v>
      </c>
      <c r="C25" s="11">
        <v>-87940</v>
      </c>
      <c r="D25" s="11">
        <v>-22230</v>
      </c>
      <c r="E25" s="11">
        <v>-66792</v>
      </c>
      <c r="F25" s="11"/>
      <c r="G25" s="11"/>
      <c r="H25" s="11">
        <f t="shared" si="0"/>
        <v>-2679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>
        <v>-150673</v>
      </c>
      <c r="C26" s="11">
        <v>-84260</v>
      </c>
      <c r="D26" s="11"/>
      <c r="E26" s="11">
        <v>-66792</v>
      </c>
      <c r="F26" s="11"/>
      <c r="G26" s="11"/>
      <c r="H26" s="11">
        <f t="shared" si="0"/>
        <v>379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>
        <v>-132418</v>
      </c>
      <c r="C27" s="11">
        <v>-60925</v>
      </c>
      <c r="D27" s="11">
        <v>-245</v>
      </c>
      <c r="E27" s="11">
        <v>-70343</v>
      </c>
      <c r="F27" s="11"/>
      <c r="G27" s="11"/>
      <c r="H27" s="11">
        <f t="shared" si="0"/>
        <v>-1395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>
        <v>-138197</v>
      </c>
      <c r="C28" s="11">
        <v>-70925</v>
      </c>
      <c r="D28" s="11"/>
      <c r="E28" s="11">
        <v>-68503</v>
      </c>
      <c r="F28" s="11"/>
      <c r="G28" s="11"/>
      <c r="H28" s="11">
        <f t="shared" si="0"/>
        <v>1231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>
        <v>-127705</v>
      </c>
      <c r="C29" s="11">
        <v>-79396</v>
      </c>
      <c r="D29" s="11">
        <v>-31083</v>
      </c>
      <c r="E29" s="11">
        <v>-82591</v>
      </c>
      <c r="F29" s="11"/>
      <c r="G29" s="11"/>
      <c r="H29" s="11">
        <f t="shared" si="0"/>
        <v>3199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>
        <v>-134689</v>
      </c>
      <c r="C30" s="11">
        <v>-82806</v>
      </c>
      <c r="D30" s="11">
        <v>-379</v>
      </c>
      <c r="E30" s="11">
        <v>-51792</v>
      </c>
      <c r="F30" s="11"/>
      <c r="G30" s="11"/>
      <c r="H30" s="11">
        <f t="shared" si="0"/>
        <v>-470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>
        <v>-141255</v>
      </c>
      <c r="C31" s="11">
        <v>-101615</v>
      </c>
      <c r="D31" s="11">
        <v>-23528</v>
      </c>
      <c r="E31" s="11">
        <v>-60827</v>
      </c>
      <c r="F31" s="11"/>
      <c r="G31" s="11"/>
      <c r="H31" s="11">
        <f t="shared" si="0"/>
        <v>-2341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-3534559</v>
      </c>
      <c r="C35" s="44">
        <f t="shared" si="1"/>
        <v>-2302146</v>
      </c>
      <c r="D35" s="11">
        <f t="shared" si="1"/>
        <v>-615136</v>
      </c>
      <c r="E35" s="44">
        <f t="shared" si="1"/>
        <v>-1807372</v>
      </c>
      <c r="F35" s="11">
        <f t="shared" si="1"/>
        <v>0</v>
      </c>
      <c r="G35" s="11">
        <f t="shared" si="1"/>
        <v>0</v>
      </c>
      <c r="H35" s="11">
        <f t="shared" si="1"/>
        <v>-39133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2.76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-108007.07999999999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5">
        <v>37072</v>
      </c>
      <c r="F38" s="47"/>
      <c r="G38" s="48"/>
      <c r="H38" s="363">
        <v>348514.64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37100</v>
      </c>
      <c r="F39" s="47"/>
      <c r="G39" s="47"/>
      <c r="H39" s="137">
        <f>+H38+H37</f>
        <v>240507.56000000003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7" workbookViewId="3">
      <selection activeCell="B33" sqref="B33"/>
    </sheetView>
  </sheetViews>
  <sheetFormatPr defaultRowHeight="13.2" x14ac:dyDescent="0.25"/>
  <cols>
    <col min="1" max="1" width="8.5546875" customWidth="1"/>
    <col min="2" max="2" width="10.44140625" customWidth="1"/>
    <col min="3" max="3" width="9.44140625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v>-258012</v>
      </c>
      <c r="E5" s="11">
        <v>-271521</v>
      </c>
      <c r="F5" s="11"/>
      <c r="G5" s="11"/>
      <c r="H5" s="24">
        <f>+E5-D5+C5-B5</f>
        <v>-13509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v>-156136</v>
      </c>
      <c r="E6" s="11">
        <v>-162882</v>
      </c>
      <c r="F6" s="11"/>
      <c r="G6" s="11"/>
      <c r="H6" s="24">
        <f t="shared" ref="H6:H35" si="0">+E6-D6+C6-B6</f>
        <v>-6746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v>-231882</v>
      </c>
      <c r="E7" s="129">
        <v>-232408</v>
      </c>
      <c r="F7" s="11"/>
      <c r="G7" s="11"/>
      <c r="H7" s="24">
        <f t="shared" si="0"/>
        <v>-526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v>-240679</v>
      </c>
      <c r="E8" s="129">
        <v>-245557</v>
      </c>
      <c r="F8" s="11"/>
      <c r="G8" s="11"/>
      <c r="H8" s="24">
        <f t="shared" si="0"/>
        <v>-4878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v>-179941</v>
      </c>
      <c r="E9" s="11">
        <v>-183943</v>
      </c>
      <c r="F9" s="11"/>
      <c r="G9" s="11"/>
      <c r="H9" s="24">
        <f t="shared" si="0"/>
        <v>-4002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v>-266969</v>
      </c>
      <c r="E10" s="11">
        <v>-269096</v>
      </c>
      <c r="F10" s="11"/>
      <c r="G10" s="11"/>
      <c r="H10" s="24">
        <f t="shared" si="0"/>
        <v>-2127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v>-326696</v>
      </c>
      <c r="E11" s="11">
        <v>-328604</v>
      </c>
      <c r="F11" s="11"/>
      <c r="G11" s="11"/>
      <c r="H11" s="24">
        <f t="shared" si="0"/>
        <v>-1908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v>-304757</v>
      </c>
      <c r="E12" s="11">
        <v>-316548</v>
      </c>
      <c r="F12" s="11"/>
      <c r="G12" s="11"/>
      <c r="H12" s="24">
        <f t="shared" si="0"/>
        <v>-11791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v>-331622</v>
      </c>
      <c r="E13" s="11">
        <v>-345712</v>
      </c>
      <c r="F13" s="11"/>
      <c r="G13" s="11"/>
      <c r="H13" s="24">
        <f t="shared" si="0"/>
        <v>-14090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v>-324045</v>
      </c>
      <c r="E14" s="11">
        <v>-339224</v>
      </c>
      <c r="F14" s="11"/>
      <c r="G14" s="11"/>
      <c r="H14" s="24">
        <f t="shared" si="0"/>
        <v>-15179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v>-282620</v>
      </c>
      <c r="E15" s="11">
        <v>-286154</v>
      </c>
      <c r="F15" s="11"/>
      <c r="G15" s="11"/>
      <c r="H15" s="24">
        <f t="shared" si="0"/>
        <v>-3534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v>-318413</v>
      </c>
      <c r="E16" s="11">
        <v>-324639</v>
      </c>
      <c r="F16" s="11"/>
      <c r="G16" s="11"/>
      <c r="H16" s="24">
        <f t="shared" si="0"/>
        <v>-6226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v>-246132</v>
      </c>
      <c r="E17" s="11">
        <v>-249630</v>
      </c>
      <c r="F17" s="11"/>
      <c r="G17" s="11"/>
      <c r="H17" s="24">
        <f t="shared" si="0"/>
        <v>-3498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v>-267258</v>
      </c>
      <c r="E18" s="11">
        <v>-267273</v>
      </c>
      <c r="F18" s="11"/>
      <c r="G18" s="11"/>
      <c r="H18" s="24">
        <f t="shared" si="0"/>
        <v>-15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v>-258788</v>
      </c>
      <c r="E19" s="11">
        <v>-289499</v>
      </c>
      <c r="F19" s="11"/>
      <c r="G19" s="11"/>
      <c r="H19" s="24">
        <f t="shared" si="0"/>
        <v>-30711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v>-281649</v>
      </c>
      <c r="E20" s="11">
        <v>-287581</v>
      </c>
      <c r="F20" s="11"/>
      <c r="G20" s="11"/>
      <c r="H20" s="24">
        <f t="shared" si="0"/>
        <v>-5932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v>-246045</v>
      </c>
      <c r="E21" s="11">
        <v>-248990</v>
      </c>
      <c r="F21" s="11"/>
      <c r="G21" s="11"/>
      <c r="H21" s="24">
        <f t="shared" si="0"/>
        <v>-2945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v>-256498</v>
      </c>
      <c r="E22" s="11">
        <v>-264482</v>
      </c>
      <c r="F22" s="11"/>
      <c r="G22" s="11"/>
      <c r="H22" s="24">
        <f t="shared" si="0"/>
        <v>-7984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v>-205121</v>
      </c>
      <c r="E23" s="11">
        <v>-227991</v>
      </c>
      <c r="F23" s="11"/>
      <c r="G23" s="11"/>
      <c r="H23" s="24">
        <f t="shared" si="0"/>
        <v>-22870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>
        <v>-304696</v>
      </c>
      <c r="E24" s="11">
        <v>-314564</v>
      </c>
      <c r="F24" s="11"/>
      <c r="G24" s="11"/>
      <c r="H24" s="24">
        <f t="shared" si="0"/>
        <v>-9868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>
        <v>-332073</v>
      </c>
      <c r="E25" s="11">
        <v>-336413</v>
      </c>
      <c r="F25" s="11"/>
      <c r="G25" s="11"/>
      <c r="H25" s="24">
        <f t="shared" si="0"/>
        <v>-4340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>
        <v>-329416</v>
      </c>
      <c r="E26" s="11">
        <v>-330245</v>
      </c>
      <c r="F26" s="11"/>
      <c r="G26" s="11"/>
      <c r="H26" s="24">
        <f t="shared" si="0"/>
        <v>-829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>
        <v>-292944</v>
      </c>
      <c r="E27" s="11">
        <v>-294426</v>
      </c>
      <c r="F27" s="11"/>
      <c r="G27" s="11"/>
      <c r="H27" s="24">
        <f t="shared" si="0"/>
        <v>-1482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>
        <v>-313234</v>
      </c>
      <c r="E28" s="11">
        <v>-313761</v>
      </c>
      <c r="F28" s="11"/>
      <c r="G28" s="11"/>
      <c r="H28" s="24">
        <f t="shared" si="0"/>
        <v>-527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>
        <v>-328127</v>
      </c>
      <c r="E29" s="11">
        <v>-328322</v>
      </c>
      <c r="F29" s="11"/>
      <c r="G29" s="11"/>
      <c r="H29" s="24">
        <f t="shared" si="0"/>
        <v>-195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>
        <v>13748</v>
      </c>
      <c r="D30" s="11">
        <v>-298954</v>
      </c>
      <c r="E30" s="11">
        <v>-303876</v>
      </c>
      <c r="F30" s="11"/>
      <c r="G30" s="11"/>
      <c r="H30" s="24">
        <f t="shared" si="0"/>
        <v>8826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>
        <v>-309493</v>
      </c>
      <c r="E31" s="11">
        <v>-299157</v>
      </c>
      <c r="F31" s="11"/>
      <c r="G31" s="11"/>
      <c r="H31" s="24">
        <f t="shared" si="0"/>
        <v>10336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>
        <v>-306560</v>
      </c>
      <c r="E32" s="11">
        <v>-308660</v>
      </c>
      <c r="F32" s="11"/>
      <c r="G32" s="11"/>
      <c r="H32" s="24">
        <f t="shared" si="0"/>
        <v>-2100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13748</v>
      </c>
      <c r="D36" s="11">
        <f t="shared" si="15"/>
        <v>-7798760</v>
      </c>
      <c r="E36" s="11">
        <f t="shared" si="15"/>
        <v>-7971158</v>
      </c>
      <c r="F36" s="11">
        <f t="shared" si="15"/>
        <v>0</v>
      </c>
      <c r="G36" s="11">
        <f t="shared" si="15"/>
        <v>0</v>
      </c>
      <c r="H36" s="11">
        <f t="shared" si="15"/>
        <v>-158650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A37" s="57">
        <v>37072</v>
      </c>
      <c r="B37" s="2" t="s">
        <v>46</v>
      </c>
      <c r="C37" s="373">
        <v>50521</v>
      </c>
      <c r="D37" s="341"/>
      <c r="E37" s="374">
        <v>170528</v>
      </c>
      <c r="F37" s="24"/>
      <c r="G37" s="24"/>
      <c r="H37" s="241">
        <f>+C37+E37+G37</f>
        <v>221049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37100</v>
      </c>
      <c r="B38" s="2" t="s">
        <v>46</v>
      </c>
      <c r="C38" s="131">
        <f>+C37+C36-B36</f>
        <v>64269</v>
      </c>
      <c r="D38" s="260"/>
      <c r="E38" s="131">
        <f>+E37+E36-D36</f>
        <v>-1870</v>
      </c>
      <c r="F38" s="260"/>
      <c r="G38" s="131"/>
      <c r="H38" s="131">
        <f>+H37+H36</f>
        <v>62399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26"/>
      <c r="D39" s="251"/>
      <c r="E39" s="251"/>
      <c r="F39" s="255"/>
      <c r="G39" s="251"/>
      <c r="H39" s="347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H40" s="121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8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5"/>
      <c r="B43" s="6"/>
      <c r="C43" s="6"/>
      <c r="D43" s="6"/>
      <c r="E43" s="283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10"/>
      <c r="B44" s="11"/>
      <c r="C44" s="11"/>
      <c r="D44" s="11"/>
      <c r="E44" s="275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10"/>
      <c r="B45" s="11"/>
      <c r="C45" s="11"/>
      <c r="D45" s="11"/>
      <c r="E45" s="275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10"/>
      <c r="B46" s="11"/>
      <c r="C46" s="11"/>
      <c r="D46" s="11"/>
      <c r="E46" s="275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11"/>
      <c r="D47" s="11"/>
      <c r="E47" s="275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5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5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24" workbookViewId="3">
      <selection activeCell="C46" sqref="C46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78448</v>
      </c>
      <c r="C6" s="11">
        <v>77619</v>
      </c>
      <c r="D6" s="25">
        <f>+C6-B6</f>
        <v>-829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85041</v>
      </c>
      <c r="C7" s="11">
        <v>84335</v>
      </c>
      <c r="D7" s="25">
        <f>+C7-B7</f>
        <v>-706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98229</v>
      </c>
      <c r="C8" s="11">
        <v>102930</v>
      </c>
      <c r="D8" s="25">
        <f t="shared" ref="D8:D36" si="0">+C8-B8</f>
        <v>4701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97181</v>
      </c>
      <c r="C9" s="11">
        <v>96001</v>
      </c>
      <c r="D9" s="25">
        <f t="shared" si="0"/>
        <v>-1180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94830</v>
      </c>
      <c r="C10" s="11">
        <v>94837</v>
      </c>
      <c r="D10" s="25">
        <f t="shared" si="0"/>
        <v>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118505</v>
      </c>
      <c r="C11" s="11">
        <v>116824</v>
      </c>
      <c r="D11" s="25">
        <f t="shared" si="0"/>
        <v>-1681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132898</v>
      </c>
      <c r="C12" s="11">
        <v>134855</v>
      </c>
      <c r="D12" s="25">
        <f t="shared" si="0"/>
        <v>1957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138859</v>
      </c>
      <c r="C13" s="11">
        <v>138000</v>
      </c>
      <c r="D13" s="25">
        <f t="shared" si="0"/>
        <v>-859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124179</v>
      </c>
      <c r="C14" s="11">
        <v>120027</v>
      </c>
      <c r="D14" s="25">
        <f t="shared" si="0"/>
        <v>-4152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692</v>
      </c>
      <c r="C16" s="11">
        <v>12248</v>
      </c>
      <c r="D16" s="25">
        <f t="shared" si="0"/>
        <v>11556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39802</v>
      </c>
      <c r="C17" s="11">
        <v>37000</v>
      </c>
      <c r="D17" s="25">
        <f t="shared" si="0"/>
        <v>-2802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98820</v>
      </c>
      <c r="C18" s="11">
        <v>96392</v>
      </c>
      <c r="D18" s="25">
        <f t="shared" si="0"/>
        <v>-2428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125524</v>
      </c>
      <c r="C19" s="11">
        <v>131334</v>
      </c>
      <c r="D19" s="25">
        <f t="shared" si="0"/>
        <v>5810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132209</v>
      </c>
      <c r="C20" s="11">
        <v>132373</v>
      </c>
      <c r="D20" s="25">
        <f t="shared" si="0"/>
        <v>164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123588</v>
      </c>
      <c r="C21" s="11">
        <v>119922</v>
      </c>
      <c r="D21" s="25">
        <f t="shared" si="0"/>
        <v>-3666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108500</v>
      </c>
      <c r="C22" s="11">
        <v>106912</v>
      </c>
      <c r="D22" s="25">
        <f t="shared" si="0"/>
        <v>-1588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142283</v>
      </c>
      <c r="C23" s="11">
        <v>139594</v>
      </c>
      <c r="D23" s="25">
        <f t="shared" si="0"/>
        <v>-2689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>
        <v>104002</v>
      </c>
      <c r="C24" s="11">
        <v>100610</v>
      </c>
      <c r="D24" s="25">
        <f t="shared" si="0"/>
        <v>-3392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>
        <v>126021</v>
      </c>
      <c r="C25" s="11">
        <v>128758</v>
      </c>
      <c r="D25" s="25">
        <f t="shared" si="0"/>
        <v>2737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>
        <v>119031</v>
      </c>
      <c r="C26" s="11">
        <v>117082</v>
      </c>
      <c r="D26" s="25">
        <f t="shared" si="0"/>
        <v>-1949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>
        <v>124935</v>
      </c>
      <c r="C27" s="11">
        <v>124297</v>
      </c>
      <c r="D27" s="25">
        <f t="shared" si="0"/>
        <v>-638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>
        <v>129044</v>
      </c>
      <c r="C28" s="11">
        <v>127800</v>
      </c>
      <c r="D28" s="25">
        <f t="shared" si="0"/>
        <v>-1244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>
        <v>130822</v>
      </c>
      <c r="C29" s="11">
        <v>129990</v>
      </c>
      <c r="D29" s="25">
        <f t="shared" si="0"/>
        <v>-832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>
        <v>104275</v>
      </c>
      <c r="C30" s="11">
        <v>102951</v>
      </c>
      <c r="D30" s="25">
        <f t="shared" si="0"/>
        <v>-1324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>
        <v>111622</v>
      </c>
      <c r="C31" s="11">
        <v>109724</v>
      </c>
      <c r="D31" s="25">
        <f t="shared" si="0"/>
        <v>-1898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>
        <v>111834</v>
      </c>
      <c r="C32" s="11">
        <v>110374</v>
      </c>
      <c r="D32" s="25">
        <f t="shared" si="0"/>
        <v>-1460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>
        <v>151982</v>
      </c>
      <c r="C33" s="11">
        <v>146300</v>
      </c>
      <c r="D33" s="25">
        <f t="shared" si="0"/>
        <v>-5682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2953156</v>
      </c>
      <c r="C37" s="11">
        <f>SUM(C6:C36)</f>
        <v>2939089</v>
      </c>
      <c r="D37" s="11">
        <f>SUM(D6:D36)</f>
        <v>-14067</v>
      </c>
      <c r="E37" s="10"/>
      <c r="F37" s="11"/>
      <c r="G37" s="11"/>
      <c r="H37" s="129"/>
      <c r="I37" s="269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1"/>
      <c r="I38" s="270"/>
      <c r="J38" s="251"/>
      <c r="K38" s="271"/>
      <c r="L38" s="251"/>
      <c r="M38" s="26"/>
      <c r="O38" s="14"/>
    </row>
    <row r="39" spans="1:16" x14ac:dyDescent="0.25">
      <c r="A39" s="57">
        <v>37072</v>
      </c>
      <c r="C39" s="15"/>
      <c r="D39" s="380">
        <v>59179</v>
      </c>
      <c r="E39" s="57"/>
      <c r="G39" s="15"/>
      <c r="H39" s="51"/>
      <c r="I39" s="272"/>
      <c r="J39" s="251"/>
      <c r="K39" s="273"/>
      <c r="L39" s="51"/>
      <c r="M39" s="57"/>
      <c r="O39" s="15"/>
      <c r="P39" s="24"/>
    </row>
    <row r="40" spans="1:16" x14ac:dyDescent="0.25">
      <c r="A40" s="57">
        <v>37100</v>
      </c>
      <c r="C40" s="48"/>
      <c r="D40" s="25">
        <f>+D39+D37</f>
        <v>45112</v>
      </c>
      <c r="E40" s="57"/>
      <c r="G40" s="48"/>
      <c r="H40" s="131"/>
      <c r="I40" s="272"/>
      <c r="J40" s="251"/>
      <c r="K40" s="274"/>
      <c r="L40" s="131"/>
      <c r="M40" s="57"/>
      <c r="O40" s="48"/>
      <c r="P40" s="130"/>
    </row>
    <row r="41" spans="1:16" x14ac:dyDescent="0.25">
      <c r="C41" s="47"/>
      <c r="H41" s="251"/>
      <c r="I41" s="251"/>
      <c r="J41" s="251"/>
      <c r="K41" s="251"/>
      <c r="L41" s="251"/>
    </row>
    <row r="42" spans="1:16" x14ac:dyDescent="0.25">
      <c r="A42" s="57"/>
      <c r="C42" s="50"/>
      <c r="D42" s="25"/>
      <c r="H42" s="251"/>
      <c r="I42" s="251"/>
      <c r="J42" s="251"/>
      <c r="K42" s="251"/>
      <c r="L42" s="251"/>
    </row>
    <row r="43" spans="1:16" x14ac:dyDescent="0.25">
      <c r="A43" s="57"/>
      <c r="C43" s="50"/>
      <c r="H43" s="251"/>
      <c r="I43" s="251"/>
      <c r="J43" s="251"/>
      <c r="K43" s="251"/>
      <c r="L43" s="251"/>
    </row>
    <row r="44" spans="1:16" x14ac:dyDescent="0.25">
      <c r="H44" s="251"/>
      <c r="I44" s="251"/>
      <c r="J44" s="251"/>
      <c r="K44" s="251"/>
      <c r="L44" s="25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25</vt:i4>
      </vt:variant>
    </vt:vector>
  </HeadingPairs>
  <TitlesOfParts>
    <vt:vector size="60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2001-07-30T17:24:40Z</cp:lastPrinted>
  <dcterms:created xsi:type="dcterms:W3CDTF">2000-03-28T16:52:23Z</dcterms:created>
  <dcterms:modified xsi:type="dcterms:W3CDTF">2023-09-10T12:03:49Z</dcterms:modified>
</cp:coreProperties>
</file>