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NNG Detail NI" sheetId="2" r:id="rId1"/>
    <sheet name="NNG-Disc.,Assets,Reserves" sheetId="4" r:id="rId2"/>
    <sheet name="NNG-Other" sheetId="5" r:id="rId3"/>
    <sheet name="TW Detail NI" sheetId="1" r:id="rId4"/>
    <sheet name="TW-Disc.,Assets,Reserves,Other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>#N/A</definedName>
    <definedName name="\B">#N/A</definedName>
    <definedName name="\C" localSheetId="0">#REF!</definedName>
    <definedName name="\C" localSheetId="1">#REF!</definedName>
    <definedName name="\C" localSheetId="2">#REF!</definedName>
    <definedName name="\C" localSheetId="3">'[8]O&amp;M_NNG'!#REF!</definedName>
    <definedName name="\C" localSheetId="4">#REF!</definedName>
    <definedName name="\C">#REF!</definedName>
    <definedName name="\H">'[4]#REF'!#REF!</definedName>
    <definedName name="\I" localSheetId="0">#REF!</definedName>
    <definedName name="\I" localSheetId="1">#REF!</definedName>
    <definedName name="\I" localSheetId="2">#REF!</definedName>
    <definedName name="\I" localSheetId="3">'[8]O&amp;M_NNG'!#REF!</definedName>
    <definedName name="\I" localSheetId="4">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0">'NNG Detail NI'!$A$1:$W$79</definedName>
    <definedName name="_xlnm.Print_Area" localSheetId="1">'NNG-Disc.,Assets,Reserves'!$A$1:$W$56</definedName>
    <definedName name="_xlnm.Print_Area" localSheetId="2">'NNG-Other'!$A$1:$W$72</definedName>
    <definedName name="_xlnm.Print_Area" localSheetId="3">'TW Detail NI'!$A$1:$Y$82</definedName>
    <definedName name="_xlnm.Print_Area" localSheetId="4">'TW-Disc.,Assets,Reserves,Other'!$A$1:$W$72</definedName>
    <definedName name="Print_Area_MI">#REF!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0"/>
</workbook>
</file>

<file path=xl/calcChain.xml><?xml version="1.0" encoding="utf-8"?>
<calcChain xmlns="http://schemas.openxmlformats.org/spreadsheetml/2006/main">
  <c r="E9" i="2" l="1"/>
  <c r="G9" i="2"/>
  <c r="I9" i="2"/>
  <c r="O9" i="2"/>
  <c r="Q9" i="2"/>
  <c r="E10" i="2"/>
  <c r="G10" i="2"/>
  <c r="E15" i="2"/>
  <c r="G15" i="2"/>
  <c r="I15" i="2"/>
  <c r="O15" i="2"/>
  <c r="Q15" i="2"/>
  <c r="E17" i="2"/>
  <c r="G17" i="2"/>
  <c r="I17" i="2"/>
  <c r="K17" i="2"/>
  <c r="M17" i="2"/>
  <c r="O17" i="2"/>
  <c r="Q17" i="2"/>
  <c r="S17" i="2"/>
  <c r="U17" i="2"/>
  <c r="W17" i="2"/>
  <c r="E20" i="2"/>
  <c r="G20" i="2"/>
  <c r="I20" i="2"/>
  <c r="M20" i="2"/>
  <c r="O20" i="2"/>
  <c r="Q20" i="2"/>
  <c r="S20" i="2"/>
  <c r="E22" i="2"/>
  <c r="G22" i="2"/>
  <c r="I22" i="2"/>
  <c r="K22" i="2"/>
  <c r="M22" i="2"/>
  <c r="O22" i="2"/>
  <c r="Q22" i="2"/>
  <c r="S22" i="2"/>
  <c r="U22" i="2"/>
  <c r="W22" i="2"/>
  <c r="E25" i="2"/>
  <c r="G25" i="2"/>
  <c r="I25" i="2"/>
  <c r="K25" i="2"/>
  <c r="M25" i="2"/>
  <c r="O25" i="2"/>
  <c r="Q25" i="2"/>
  <c r="M26" i="2"/>
  <c r="Q26" i="2"/>
  <c r="O27" i="2"/>
  <c r="E28" i="2"/>
  <c r="G28" i="2"/>
  <c r="G29" i="2"/>
  <c r="I29" i="2"/>
  <c r="K29" i="2"/>
  <c r="O30" i="2"/>
  <c r="K32" i="2"/>
  <c r="M32" i="2"/>
  <c r="O32" i="2"/>
  <c r="Q32" i="2"/>
  <c r="O34" i="2"/>
  <c r="Q35" i="2"/>
  <c r="E36" i="2"/>
  <c r="G36" i="2"/>
  <c r="I36" i="2"/>
  <c r="K36" i="2"/>
  <c r="E37" i="2"/>
  <c r="G37" i="2"/>
  <c r="I37" i="2"/>
  <c r="M37" i="2"/>
  <c r="Q37" i="2"/>
  <c r="E39" i="2"/>
  <c r="G39" i="2"/>
  <c r="I39" i="2"/>
  <c r="K39" i="2"/>
  <c r="M39" i="2"/>
  <c r="O39" i="2"/>
  <c r="Q39" i="2"/>
  <c r="S39" i="2"/>
  <c r="I40" i="2"/>
  <c r="K40" i="2"/>
  <c r="M40" i="2"/>
  <c r="E42" i="2"/>
  <c r="G42" i="2"/>
  <c r="I42" i="2"/>
  <c r="K42" i="2"/>
  <c r="M42" i="2"/>
  <c r="O42" i="2"/>
  <c r="Q42" i="2"/>
  <c r="S42" i="2"/>
  <c r="U42" i="2"/>
  <c r="W42" i="2"/>
  <c r="I45" i="2"/>
  <c r="Q45" i="2"/>
  <c r="I46" i="2"/>
  <c r="O47" i="2"/>
  <c r="E48" i="2"/>
  <c r="G48" i="2"/>
  <c r="I48" i="2"/>
  <c r="K48" i="2"/>
  <c r="M48" i="2"/>
  <c r="O48" i="2"/>
  <c r="Q48" i="2"/>
  <c r="E50" i="2"/>
  <c r="G50" i="2"/>
  <c r="I50" i="2"/>
  <c r="K50" i="2"/>
  <c r="M50" i="2"/>
  <c r="O50" i="2"/>
  <c r="Q50" i="2"/>
  <c r="S50" i="2"/>
  <c r="U50" i="2"/>
  <c r="W50" i="2"/>
  <c r="E52" i="2"/>
  <c r="G52" i="2"/>
  <c r="I52" i="2"/>
  <c r="K52" i="2"/>
  <c r="M52" i="2"/>
  <c r="O52" i="2"/>
  <c r="Q52" i="2"/>
  <c r="S52" i="2"/>
  <c r="U52" i="2"/>
  <c r="W52" i="2"/>
  <c r="E55" i="2"/>
  <c r="G55" i="2"/>
  <c r="I55" i="2"/>
  <c r="K55" i="2"/>
  <c r="M55" i="2"/>
  <c r="O55" i="2"/>
  <c r="Q55" i="2"/>
  <c r="S55" i="2"/>
  <c r="U55" i="2"/>
  <c r="W55" i="2"/>
  <c r="E56" i="2"/>
  <c r="G56" i="2"/>
  <c r="I56" i="2"/>
  <c r="K56" i="2"/>
  <c r="M56" i="2"/>
  <c r="O56" i="2"/>
  <c r="Q56" i="2"/>
  <c r="S56" i="2"/>
  <c r="U56" i="2"/>
  <c r="W56" i="2"/>
  <c r="E57" i="2"/>
  <c r="G57" i="2"/>
  <c r="I57" i="2"/>
  <c r="K57" i="2"/>
  <c r="M57" i="2"/>
  <c r="O57" i="2"/>
  <c r="Q57" i="2"/>
  <c r="S57" i="2"/>
  <c r="U57" i="2"/>
  <c r="W57" i="2"/>
  <c r="E58" i="2"/>
  <c r="G58" i="2"/>
  <c r="I58" i="2"/>
  <c r="K58" i="2"/>
  <c r="M58" i="2"/>
  <c r="O58" i="2"/>
  <c r="Q58" i="2"/>
  <c r="S58" i="2"/>
  <c r="U58" i="2"/>
  <c r="W58" i="2"/>
  <c r="E60" i="2"/>
  <c r="G60" i="2"/>
  <c r="I60" i="2"/>
  <c r="K60" i="2"/>
  <c r="M60" i="2"/>
  <c r="O60" i="2"/>
  <c r="Q60" i="2"/>
  <c r="S60" i="2"/>
  <c r="U60" i="2"/>
  <c r="W60" i="2"/>
  <c r="E62" i="2"/>
  <c r="G62" i="2"/>
  <c r="I62" i="2"/>
  <c r="K62" i="2"/>
  <c r="M62" i="2"/>
  <c r="O62" i="2"/>
  <c r="Q62" i="2"/>
  <c r="S62" i="2"/>
  <c r="U62" i="2"/>
  <c r="W62" i="2"/>
  <c r="E65" i="2"/>
  <c r="E70" i="2"/>
  <c r="G70" i="2"/>
  <c r="I70" i="2"/>
  <c r="K70" i="2"/>
  <c r="M70" i="2"/>
  <c r="O70" i="2"/>
  <c r="S70" i="2"/>
  <c r="U70" i="2"/>
  <c r="W70" i="2"/>
  <c r="E74" i="2"/>
  <c r="E76" i="2"/>
  <c r="G76" i="2"/>
  <c r="I76" i="2"/>
  <c r="K76" i="2"/>
  <c r="M76" i="2"/>
  <c r="O76" i="2"/>
  <c r="Q76" i="2"/>
  <c r="S76" i="2"/>
  <c r="U76" i="2"/>
  <c r="W76" i="2"/>
  <c r="A79" i="2"/>
  <c r="W79" i="2"/>
  <c r="A1" i="4"/>
  <c r="A3" i="4"/>
  <c r="E6" i="4"/>
  <c r="G6" i="4"/>
  <c r="I6" i="4"/>
  <c r="K6" i="4"/>
  <c r="M6" i="4"/>
  <c r="O6" i="4"/>
  <c r="Q6" i="4"/>
  <c r="S6" i="4"/>
  <c r="U6" i="4"/>
  <c r="W6" i="4"/>
  <c r="E7" i="4"/>
  <c r="G7" i="4"/>
  <c r="I7" i="4"/>
  <c r="K7" i="4"/>
  <c r="M7" i="4"/>
  <c r="O7" i="4"/>
  <c r="Q7" i="4"/>
  <c r="S7" i="4"/>
  <c r="U7" i="4"/>
  <c r="W7" i="4"/>
  <c r="E9" i="4"/>
  <c r="G9" i="4"/>
  <c r="E10" i="4"/>
  <c r="G10" i="4"/>
  <c r="I10" i="4"/>
  <c r="E12" i="4"/>
  <c r="G12" i="4"/>
  <c r="E13" i="4"/>
  <c r="G13" i="4"/>
  <c r="I13" i="4"/>
  <c r="E15" i="4"/>
  <c r="G15" i="4"/>
  <c r="I15" i="4"/>
  <c r="K15" i="4"/>
  <c r="M15" i="4"/>
  <c r="O15" i="4"/>
  <c r="Q15" i="4"/>
  <c r="S15" i="4"/>
  <c r="U15" i="4"/>
  <c r="W15" i="4"/>
  <c r="S24" i="4"/>
  <c r="S30" i="4"/>
  <c r="U33" i="4"/>
  <c r="W33" i="4"/>
  <c r="E35" i="4"/>
  <c r="G35" i="4"/>
  <c r="I35" i="4"/>
  <c r="K35" i="4"/>
  <c r="M35" i="4"/>
  <c r="O35" i="4"/>
  <c r="Q35" i="4"/>
  <c r="S35" i="4"/>
  <c r="U35" i="4"/>
  <c r="W35" i="4"/>
  <c r="Q49" i="4"/>
  <c r="K50" i="4"/>
  <c r="S51" i="4"/>
  <c r="E53" i="4"/>
  <c r="G53" i="4"/>
  <c r="I53" i="4"/>
  <c r="K53" i="4"/>
  <c r="M53" i="4"/>
  <c r="O53" i="4"/>
  <c r="Q53" i="4"/>
  <c r="S53" i="4"/>
  <c r="U53" i="4"/>
  <c r="W53" i="4"/>
  <c r="A56" i="4"/>
  <c r="W56" i="4"/>
  <c r="A1" i="5"/>
  <c r="A3" i="5"/>
  <c r="E6" i="5"/>
  <c r="G6" i="5"/>
  <c r="I6" i="5"/>
  <c r="K6" i="5"/>
  <c r="M6" i="5"/>
  <c r="O6" i="5"/>
  <c r="Q6" i="5"/>
  <c r="S6" i="5"/>
  <c r="U6" i="5"/>
  <c r="W6" i="5"/>
  <c r="E7" i="5"/>
  <c r="G7" i="5"/>
  <c r="I7" i="5"/>
  <c r="K7" i="5"/>
  <c r="M7" i="5"/>
  <c r="O7" i="5"/>
  <c r="Q7" i="5"/>
  <c r="S7" i="5"/>
  <c r="U7" i="5"/>
  <c r="W7" i="5"/>
  <c r="Q24" i="5"/>
  <c r="O26" i="5"/>
  <c r="O27" i="5"/>
  <c r="I29" i="5"/>
  <c r="G30" i="5"/>
  <c r="Q32" i="5"/>
  <c r="M38" i="5"/>
  <c r="G42" i="5"/>
  <c r="M44" i="5"/>
  <c r="O47" i="5"/>
  <c r="I53" i="5"/>
  <c r="Q65" i="5"/>
  <c r="E70" i="5"/>
  <c r="G70" i="5"/>
  <c r="I70" i="5"/>
  <c r="K70" i="5"/>
  <c r="M70" i="5"/>
  <c r="O70" i="5"/>
  <c r="Q70" i="5"/>
  <c r="S70" i="5"/>
  <c r="U70" i="5"/>
  <c r="W70" i="5"/>
  <c r="A72" i="5"/>
  <c r="W72" i="5"/>
  <c r="A2" i="1"/>
  <c r="A3" i="1"/>
  <c r="K6" i="1"/>
  <c r="N6" i="1"/>
  <c r="P6" i="1"/>
  <c r="R6" i="1"/>
  <c r="T6" i="1"/>
  <c r="V6" i="1"/>
  <c r="X6" i="1"/>
  <c r="E7" i="1"/>
  <c r="G7" i="1"/>
  <c r="I7" i="1"/>
  <c r="K7" i="1"/>
  <c r="N7" i="1"/>
  <c r="P7" i="1"/>
  <c r="R7" i="1"/>
  <c r="T7" i="1"/>
  <c r="V7" i="1"/>
  <c r="X7" i="1"/>
  <c r="E9" i="1"/>
  <c r="G9" i="1"/>
  <c r="I9" i="1"/>
  <c r="K9" i="1"/>
  <c r="N9" i="1"/>
  <c r="P9" i="1"/>
  <c r="R9" i="1"/>
  <c r="T9" i="1"/>
  <c r="V9" i="1"/>
  <c r="K11" i="1"/>
  <c r="E13" i="1"/>
  <c r="G13" i="1"/>
  <c r="I13" i="1"/>
  <c r="K13" i="1"/>
  <c r="N13" i="1"/>
  <c r="P13" i="1"/>
  <c r="R13" i="1"/>
  <c r="T13" i="1"/>
  <c r="V13" i="1"/>
  <c r="X13" i="1"/>
  <c r="K16" i="1"/>
  <c r="N16" i="1"/>
  <c r="P16" i="1"/>
  <c r="R16" i="1"/>
  <c r="T16" i="1"/>
  <c r="V16" i="1"/>
  <c r="X16" i="1"/>
  <c r="E18" i="1"/>
  <c r="G18" i="1"/>
  <c r="I18" i="1"/>
  <c r="K18" i="1"/>
  <c r="N18" i="1"/>
  <c r="P18" i="1"/>
  <c r="R18" i="1"/>
  <c r="T18" i="1"/>
  <c r="V18" i="1"/>
  <c r="X18" i="1"/>
  <c r="E21" i="1"/>
  <c r="G21" i="1"/>
  <c r="I21" i="1"/>
  <c r="K21" i="1"/>
  <c r="N21" i="1"/>
  <c r="P21" i="1"/>
  <c r="R21" i="1"/>
  <c r="V21" i="1"/>
  <c r="X21" i="1"/>
  <c r="N22" i="1"/>
  <c r="R22" i="1"/>
  <c r="V22" i="1"/>
  <c r="X22" i="1"/>
  <c r="E24" i="1"/>
  <c r="G24" i="1"/>
  <c r="I24" i="1"/>
  <c r="K24" i="1"/>
  <c r="N25" i="1"/>
  <c r="K28" i="1"/>
  <c r="N28" i="1"/>
  <c r="P28" i="1"/>
  <c r="R28" i="1"/>
  <c r="T28" i="1"/>
  <c r="V28" i="1"/>
  <c r="X28" i="1"/>
  <c r="P29" i="1"/>
  <c r="I31" i="1"/>
  <c r="K31" i="1"/>
  <c r="N31" i="1"/>
  <c r="K33" i="1"/>
  <c r="N33" i="1"/>
  <c r="P33" i="1"/>
  <c r="R33" i="1"/>
  <c r="K34" i="1"/>
  <c r="N34" i="1"/>
  <c r="E36" i="1"/>
  <c r="G36" i="1"/>
  <c r="I36" i="1"/>
  <c r="K36" i="1"/>
  <c r="N36" i="1"/>
  <c r="P36" i="1"/>
  <c r="R36" i="1"/>
  <c r="T36" i="1"/>
  <c r="V36" i="1"/>
  <c r="X36" i="1"/>
  <c r="E40" i="1"/>
  <c r="G40" i="1"/>
  <c r="K40" i="1"/>
  <c r="N40" i="1"/>
  <c r="P40" i="1"/>
  <c r="E42" i="1"/>
  <c r="G42" i="1"/>
  <c r="I42" i="1"/>
  <c r="K42" i="1"/>
  <c r="N42" i="1"/>
  <c r="P42" i="1"/>
  <c r="R42" i="1"/>
  <c r="T42" i="1"/>
  <c r="V42" i="1"/>
  <c r="X42" i="1"/>
  <c r="E44" i="1"/>
  <c r="G44" i="1"/>
  <c r="I44" i="1"/>
  <c r="K44" i="1"/>
  <c r="N44" i="1"/>
  <c r="P44" i="1"/>
  <c r="R44" i="1"/>
  <c r="T44" i="1"/>
  <c r="V44" i="1"/>
  <c r="X44" i="1"/>
  <c r="E47" i="1"/>
  <c r="G47" i="1"/>
  <c r="I47" i="1"/>
  <c r="E48" i="1"/>
  <c r="G48" i="1"/>
  <c r="I48" i="1"/>
  <c r="K48" i="1"/>
  <c r="N48" i="1"/>
  <c r="P48" i="1"/>
  <c r="R48" i="1"/>
  <c r="T48" i="1"/>
  <c r="V48" i="1"/>
  <c r="X48" i="1"/>
  <c r="E49" i="1"/>
  <c r="G49" i="1"/>
  <c r="I49" i="1"/>
  <c r="K49" i="1"/>
  <c r="N49" i="1"/>
  <c r="P49" i="1"/>
  <c r="R49" i="1"/>
  <c r="T49" i="1"/>
  <c r="V49" i="1"/>
  <c r="X49" i="1"/>
  <c r="E50" i="1"/>
  <c r="G50" i="1"/>
  <c r="I50" i="1"/>
  <c r="K50" i="1"/>
  <c r="N50" i="1"/>
  <c r="P50" i="1"/>
  <c r="R50" i="1"/>
  <c r="T50" i="1"/>
  <c r="V50" i="1"/>
  <c r="X50" i="1"/>
  <c r="E51" i="1"/>
  <c r="G51" i="1"/>
  <c r="I51" i="1"/>
  <c r="K51" i="1"/>
  <c r="N51" i="1"/>
  <c r="P51" i="1"/>
  <c r="R51" i="1"/>
  <c r="T51" i="1"/>
  <c r="V51" i="1"/>
  <c r="X51" i="1"/>
  <c r="E53" i="1"/>
  <c r="G53" i="1"/>
  <c r="I53" i="1"/>
  <c r="K53" i="1"/>
  <c r="N53" i="1"/>
  <c r="P53" i="1"/>
  <c r="R53" i="1"/>
  <c r="T53" i="1"/>
  <c r="V53" i="1"/>
  <c r="X53" i="1"/>
  <c r="E55" i="1"/>
  <c r="G55" i="1"/>
  <c r="I55" i="1"/>
  <c r="K55" i="1"/>
  <c r="N55" i="1"/>
  <c r="P55" i="1"/>
  <c r="R55" i="1"/>
  <c r="T55" i="1"/>
  <c r="V55" i="1"/>
  <c r="X55" i="1"/>
  <c r="E58" i="1"/>
  <c r="G58" i="1"/>
  <c r="I58" i="1"/>
  <c r="K60" i="1"/>
  <c r="E62" i="1"/>
  <c r="G62" i="1"/>
  <c r="I62" i="1"/>
  <c r="K62" i="1"/>
  <c r="N62" i="1"/>
  <c r="P62" i="1"/>
  <c r="K65" i="1"/>
  <c r="E69" i="1"/>
  <c r="G69" i="1"/>
  <c r="I69" i="1"/>
  <c r="K69" i="1"/>
  <c r="N69" i="1"/>
  <c r="P69" i="1"/>
  <c r="R69" i="1"/>
  <c r="T69" i="1"/>
  <c r="V69" i="1"/>
  <c r="X69" i="1"/>
  <c r="T77" i="1"/>
  <c r="V77" i="1"/>
  <c r="X77" i="1"/>
  <c r="T79" i="1"/>
  <c r="V79" i="1"/>
  <c r="X79" i="1"/>
  <c r="A82" i="1"/>
  <c r="X82" i="1"/>
  <c r="A1" i="3"/>
  <c r="A2" i="3"/>
  <c r="A3" i="3"/>
  <c r="E6" i="3"/>
  <c r="G6" i="3"/>
  <c r="I6" i="3"/>
  <c r="K6" i="3"/>
  <c r="M6" i="3"/>
  <c r="O6" i="3"/>
  <c r="Q6" i="3"/>
  <c r="S6" i="3"/>
  <c r="U6" i="3"/>
  <c r="W6" i="3"/>
  <c r="E7" i="3"/>
  <c r="G7" i="3"/>
  <c r="I7" i="3"/>
  <c r="K7" i="3"/>
  <c r="M7" i="3"/>
  <c r="O7" i="3"/>
  <c r="Q7" i="3"/>
  <c r="S7" i="3"/>
  <c r="U7" i="3"/>
  <c r="W7" i="3"/>
  <c r="E13" i="3"/>
  <c r="G13" i="3"/>
  <c r="I13" i="3"/>
  <c r="K13" i="3"/>
  <c r="M13" i="3"/>
  <c r="O13" i="3"/>
  <c r="Q13" i="3"/>
  <c r="S13" i="3"/>
  <c r="U13" i="3"/>
  <c r="W13" i="3"/>
  <c r="E23" i="3"/>
  <c r="G23" i="3"/>
  <c r="I23" i="3"/>
  <c r="K23" i="3"/>
  <c r="M23" i="3"/>
  <c r="O23" i="3"/>
  <c r="Q23" i="3"/>
  <c r="S23" i="3"/>
  <c r="U23" i="3"/>
  <c r="W23" i="3"/>
  <c r="E34" i="3"/>
  <c r="G34" i="3"/>
  <c r="I34" i="3"/>
  <c r="K34" i="3"/>
  <c r="M34" i="3"/>
  <c r="O34" i="3"/>
  <c r="Q34" i="3"/>
  <c r="S34" i="3"/>
  <c r="U34" i="3"/>
  <c r="W34" i="3"/>
  <c r="Q42" i="3"/>
  <c r="Q46" i="3"/>
  <c r="E49" i="3"/>
  <c r="K63" i="3"/>
  <c r="E70" i="3"/>
  <c r="G70" i="3"/>
  <c r="I70" i="3"/>
  <c r="K70" i="3"/>
  <c r="M70" i="3"/>
  <c r="O70" i="3"/>
  <c r="Q70" i="3"/>
  <c r="S70" i="3"/>
  <c r="U70" i="3"/>
  <c r="W70" i="3"/>
  <c r="A72" i="3"/>
  <c r="W72" i="3"/>
</calcChain>
</file>

<file path=xl/sharedStrings.xml><?xml version="1.0" encoding="utf-8"?>
<sst xmlns="http://schemas.openxmlformats.org/spreadsheetml/2006/main" count="297" uniqueCount="243">
  <si>
    <t>Plan</t>
  </si>
  <si>
    <t xml:space="preserve">Margins (Including GRI, ACA &amp; TCR) </t>
  </si>
  <si>
    <t>Total Transport Margins</t>
  </si>
  <si>
    <t>Other</t>
  </si>
  <si>
    <t>Total</t>
  </si>
  <si>
    <t>Operating Expenses</t>
  </si>
  <si>
    <t>O&amp;M - Direct Costs &amp; G&amp;A</t>
  </si>
  <si>
    <t>- GPG &amp; Corporate</t>
  </si>
  <si>
    <t>GRI &amp; ACA</t>
  </si>
  <si>
    <t>- TCR II</t>
  </si>
  <si>
    <t>- Mini Settlement Amortization</t>
  </si>
  <si>
    <t>- Global Settlement Amortization</t>
  </si>
  <si>
    <t>Fuel - Retained / Used</t>
  </si>
  <si>
    <t>- UAF</t>
  </si>
  <si>
    <t>DD&amp;A - Normal</t>
  </si>
  <si>
    <t>- Fair Value Amortization</t>
  </si>
  <si>
    <t xml:space="preserve">Other Taxes - Ad Valorem </t>
  </si>
  <si>
    <t>- Payroll / Franchise / Navajo</t>
  </si>
  <si>
    <t>Total Operating Expenses</t>
  </si>
  <si>
    <t>Other Income / (Deductions)</t>
  </si>
  <si>
    <t>Total Other Income / (Deductions)</t>
  </si>
  <si>
    <t>Recurring Income Before Interest &amp; Taxes</t>
  </si>
  <si>
    <t>Total Non Recurring Items</t>
  </si>
  <si>
    <t>Income Before Interest &amp; Taxes</t>
  </si>
  <si>
    <t>Interest Expense</t>
  </si>
  <si>
    <t>Intercompany Interest Income</t>
  </si>
  <si>
    <t>AFUDC</t>
  </si>
  <si>
    <t>Income Taxes</t>
  </si>
  <si>
    <t>Non Recurring Non IBIT Items</t>
  </si>
  <si>
    <t>Net Income Before Financing Costs</t>
  </si>
  <si>
    <t>IBIT</t>
  </si>
  <si>
    <t>DETAIL OF NET INCOME</t>
  </si>
  <si>
    <t>($ Millions)</t>
  </si>
  <si>
    <t>1999</t>
  </si>
  <si>
    <t xml:space="preserve">Margins (Including GRI &amp; ACA) </t>
  </si>
  <si>
    <t>Transport - Demand</t>
  </si>
  <si>
    <t>- Commodity</t>
  </si>
  <si>
    <t>Storage</t>
  </si>
  <si>
    <t>Tranche 2 &amp; 3</t>
  </si>
  <si>
    <t>Structured Products - Recurring</t>
  </si>
  <si>
    <t>Special Projects</t>
  </si>
  <si>
    <t>Lucent Phone Credit</t>
  </si>
  <si>
    <t>Others, Net</t>
  </si>
  <si>
    <t xml:space="preserve">Total </t>
  </si>
  <si>
    <t>Regulatory Commission Expense</t>
  </si>
  <si>
    <t>New Regulatory Assets Amortization</t>
  </si>
  <si>
    <t>IMP / South Georgia Credits</t>
  </si>
  <si>
    <t>TC&amp;S - Mobil Annual Settlement</t>
  </si>
  <si>
    <t>- Base Gas SBA / Fees Amortization</t>
  </si>
  <si>
    <t>- Lucent Phones</t>
  </si>
  <si>
    <t>Other Taxes - Ad Valorem</t>
  </si>
  <si>
    <t xml:space="preserve">- Payroll / Franchise </t>
  </si>
  <si>
    <t>Trailblazer</t>
  </si>
  <si>
    <t xml:space="preserve">Overthrust </t>
  </si>
  <si>
    <t>3rd Party Interest Expense - New Debt</t>
  </si>
  <si>
    <t>Excess Deferred Taxes</t>
  </si>
  <si>
    <t>Actual</t>
  </si>
  <si>
    <t>GAIN ON ASSET SALES</t>
  </si>
  <si>
    <t>Burton Flats</t>
  </si>
  <si>
    <t>Compressor Monetization</t>
  </si>
  <si>
    <t>Unidentified Stretch</t>
  </si>
  <si>
    <t>Total Gain on Asset Sales</t>
  </si>
  <si>
    <t>OTHER</t>
  </si>
  <si>
    <t>Annual Incentive Accounting (O&amp;M GPG)</t>
  </si>
  <si>
    <t>Acct. / Regulatory Overview (Other Income)</t>
  </si>
  <si>
    <t>Gallup - Gas Premium</t>
  </si>
  <si>
    <t>Total Other</t>
  </si>
  <si>
    <t>DETAIL OF NON RECURRING IBIT ITEMS</t>
  </si>
  <si>
    <t>Tejas / Champlin (South End)</t>
  </si>
  <si>
    <t xml:space="preserve">Vehicle Sales </t>
  </si>
  <si>
    <t>Custer County</t>
  </si>
  <si>
    <t>Trailblazer Monetization</t>
  </si>
  <si>
    <t xml:space="preserve">Seagull </t>
  </si>
  <si>
    <t xml:space="preserve">Radio Towers </t>
  </si>
  <si>
    <t xml:space="preserve">Elk City </t>
  </si>
  <si>
    <t>MOPS Monetization</t>
  </si>
  <si>
    <t>Zavala</t>
  </si>
  <si>
    <t>ECS Deals</t>
  </si>
  <si>
    <t>RESERVES</t>
  </si>
  <si>
    <t>Total Reserves</t>
  </si>
  <si>
    <t>South Georgia Adjustment (Reg. Amort.)</t>
  </si>
  <si>
    <t>Interest Rate Lock Termination (Other Income)</t>
  </si>
  <si>
    <t xml:space="preserve">Non Recurring IBIT Items </t>
  </si>
  <si>
    <t xml:space="preserve">Non Recurring Non IBIT Items </t>
  </si>
  <si>
    <t>1998</t>
  </si>
  <si>
    <t>NORTHERN NATURAL GAS GROUP</t>
  </si>
  <si>
    <t>TRANSWESTERN PIPELINE GROUP</t>
  </si>
  <si>
    <t>1997</t>
  </si>
  <si>
    <t>1996</t>
  </si>
  <si>
    <t>1995</t>
  </si>
  <si>
    <t>1994</t>
  </si>
  <si>
    <t>1993</t>
  </si>
  <si>
    <t>Liquids Revenue</t>
  </si>
  <si>
    <t xml:space="preserve">Interest Income </t>
  </si>
  <si>
    <t>Highlands</t>
  </si>
  <si>
    <t>TOP / TCR / LIT</t>
  </si>
  <si>
    <t>Other Non Tracked Regulatory Expense</t>
  </si>
  <si>
    <t>Merchant Business (Sales Less COS)</t>
  </si>
  <si>
    <t>Gathering Income (Revenue Less Expense)</t>
  </si>
  <si>
    <t>Mobil Contract Renegotiation (Trans. Rev.)</t>
  </si>
  <si>
    <t>Crockett County Facilities</t>
  </si>
  <si>
    <t>Montana Facilities</t>
  </si>
  <si>
    <t>Annual Incentive Acctg. (O&amp;M Direct)</t>
  </si>
  <si>
    <t>Latex Stock Sale Indemnification (Other Ded.)</t>
  </si>
  <si>
    <t>Coyanosa Escrow (Other Deductions)</t>
  </si>
  <si>
    <t>Rate Case Refund Contingency (Trans. Rev.)</t>
  </si>
  <si>
    <t>Conoco Reserve (Other Deductions)</t>
  </si>
  <si>
    <t>Trailblazer Linepack Sale (Other Revenue)</t>
  </si>
  <si>
    <t>Rate Case Activity (Trans. Rev.)</t>
  </si>
  <si>
    <t>1999 Reserve Building (Other Deductions)</t>
  </si>
  <si>
    <t>Misc.</t>
  </si>
  <si>
    <t>Grynburg Legal Fees (O&amp;M Dir.-Rev. in 2000)</t>
  </si>
  <si>
    <t>Bad Debt Reversal (O&amp;M Direct)</t>
  </si>
  <si>
    <t>Severance / Relocation (O&amp;M Direct)</t>
  </si>
  <si>
    <t>Guebarra / Panda Litigation (O&amp;M Direct)</t>
  </si>
  <si>
    <t>Kennedy-Mitchell Litigation (Other Deduct.)</t>
  </si>
  <si>
    <t>Suspense Gas (Sales Margin)</t>
  </si>
  <si>
    <t>Stranger's Gas (Trans. Revenue)</t>
  </si>
  <si>
    <t>FAS 106 Adjustments (O&amp;M Direct)</t>
  </si>
  <si>
    <t>Permian Earnest Money Refund (Other Inc.)</t>
  </si>
  <si>
    <t>Corporate Allocations Credit (O&amp;M Direct)</t>
  </si>
  <si>
    <t>Regulatory Com. Exp. Adj. (Reg. Amort.)</t>
  </si>
  <si>
    <t xml:space="preserve">Ad Valorem Tax Adjust. (Other Taxes) </t>
  </si>
  <si>
    <t>Kansas Ad Val. Tax Refund (Other Income)</t>
  </si>
  <si>
    <t>KN Option Payment (Other Revenue)</t>
  </si>
  <si>
    <t>- Carlton Refunds (Discount Issue) / Other</t>
  </si>
  <si>
    <t>Bloomfield / Bisti Buyout (Other Revenue)</t>
  </si>
  <si>
    <t>Line Pack Revaluation (Sales Margin)</t>
  </si>
  <si>
    <t>Corporate Allocation Credit (O&amp;M Direct)</t>
  </si>
  <si>
    <t>Mewbourne Sev. Tax Settle. (Net-Other Inc.)</t>
  </si>
  <si>
    <t>Mewbourne Reserve (Other Deductions)</t>
  </si>
  <si>
    <t>OBA Revaluation (Other Revenue)</t>
  </si>
  <si>
    <t>Order 751 Abandonment (Other Income)</t>
  </si>
  <si>
    <t>Environmental Reserve (O&amp;M Direct)</t>
  </si>
  <si>
    <t>UAF Accrual / Reversal (Fuel)</t>
  </si>
  <si>
    <t>New Mexico Sales Tax Adj. (Other Taxes)</t>
  </si>
  <si>
    <t>CWIP Capitalization / Ad Valorem Tax Adj.</t>
  </si>
  <si>
    <t>Texas Franchise Tax Refund ( Other Taxes)</t>
  </si>
  <si>
    <t>Insurance Adjustment (O&amp;M GPG)</t>
  </si>
  <si>
    <t>Severance / Pension (FAS 87) (O&amp;M GPG)</t>
  </si>
  <si>
    <t>Brillhart</t>
  </si>
  <si>
    <t>Demand</t>
  </si>
  <si>
    <t>Commodity</t>
  </si>
  <si>
    <t>Santa Fe Amortization</t>
  </si>
  <si>
    <t>State Income Tax Adjustments</t>
  </si>
  <si>
    <t>LSP Whitewater Reserve (Other Revenue)</t>
  </si>
  <si>
    <t>DDVC Reserve (Other Revenue)</t>
  </si>
  <si>
    <t>CWIP Capitalization Adj. (Other Taxes)</t>
  </si>
  <si>
    <t>South Dakota Sales Tax Adj. (Other Taxes)</t>
  </si>
  <si>
    <t>Environmental Cleanup (O&amp;M Direct)</t>
  </si>
  <si>
    <t>Pyote / Oates</t>
  </si>
  <si>
    <t>Puckett Facilities</t>
  </si>
  <si>
    <t>Environmental Cleanup Costs (O&amp;M Direct)</t>
  </si>
  <si>
    <t>Uncollectible Accts. (Reg. Amortization)</t>
  </si>
  <si>
    <t>Monsanto Litigation (Other Deductions)</t>
  </si>
  <si>
    <t>Increase PGAR Filing Cap. (Reg. Amort.)</t>
  </si>
  <si>
    <t>Regulatory Amortization - Other</t>
  </si>
  <si>
    <t>Depreciation Rate 1.2% vs 1.7% (DD&amp;A)</t>
  </si>
  <si>
    <t>FERC Audit / *W/O* AFUDC (O&amp;M Direct)</t>
  </si>
  <si>
    <t>AFUDC Reserve / Compliance Adjustment</t>
  </si>
  <si>
    <t>Depreciation Adjustments (DD&amp;A)</t>
  </si>
  <si>
    <t xml:space="preserve">Gathering Income (Assumed O&amp;M Exp.Only) </t>
  </si>
  <si>
    <t>Mewbourne Settlement Absorb. (O&amp;M Direct)</t>
  </si>
  <si>
    <t>UAF Adjustment (O&amp;M Direct in 1993)</t>
  </si>
  <si>
    <t>Other Regulatory Reserves (O&amp;M Direct)</t>
  </si>
  <si>
    <t>Aquila Contract Buyout (Transport Revenue)</t>
  </si>
  <si>
    <t>Ignacio / Blanco (Transport Revenue)</t>
  </si>
  <si>
    <t>UAF Fuel Issue (Fuel - Reverse in 2000)</t>
  </si>
  <si>
    <t>PGE Dispute (Other Rev. - Reverse in 2000)</t>
  </si>
  <si>
    <t>AFUDC / Interest Lost</t>
  </si>
  <si>
    <t xml:space="preserve">Revenue             </t>
  </si>
  <si>
    <t xml:space="preserve">Net Fuel/Electric               </t>
  </si>
  <si>
    <t>Gas Premium</t>
  </si>
  <si>
    <t>Expenses</t>
  </si>
  <si>
    <t>Note: Gallup 2000 - 2002 Plan</t>
  </si>
  <si>
    <t>Total Pre-Tax</t>
  </si>
  <si>
    <t>FERC Audit/*W/O*AFUDC Comp.(O&amp;M Dir.)</t>
  </si>
  <si>
    <t xml:space="preserve">Net Income Before Fin.Costs ('93-'96 W/O FVA) </t>
  </si>
  <si>
    <t>Gain on Asset Sales (See Schedule)</t>
  </si>
  <si>
    <t>Reserves (See Schedule)</t>
  </si>
  <si>
    <t>Other (See Schedule)</t>
  </si>
  <si>
    <t>1993 *</t>
  </si>
  <si>
    <t>1994 *</t>
  </si>
  <si>
    <t>1995 *</t>
  </si>
  <si>
    <t>*</t>
  </si>
  <si>
    <t>Detailed Financial Information Not Available. Based on Brown Cover Financials Only.</t>
  </si>
  <si>
    <t>Structured Products (Other Revenue)</t>
  </si>
  <si>
    <t>Reverse Auction True-Up (Interest Income)</t>
  </si>
  <si>
    <t>DOT User Fees (O&amp;M Dir. - Reverse in 2000)</t>
  </si>
  <si>
    <t>EIS Underbilled (O&amp;M GPG-Reverse in 2000)</t>
  </si>
  <si>
    <t>Minnesota Ad Valorem Tax Rate (Other Tax.)</t>
  </si>
  <si>
    <t>Various DD&amp;A Adjustments (DD&amp;A)</t>
  </si>
  <si>
    <t>Base Gas Monetization (Sales Margin)</t>
  </si>
  <si>
    <t>Crockett Income (Trans. Rev. Less Expense)</t>
  </si>
  <si>
    <t>Temeron Settlement (Other Deductions)</t>
  </si>
  <si>
    <t>Temeron Litigation (Other Deduct.)</t>
  </si>
  <si>
    <t>Tx Franchise Tax Refund / Adj. (Other Taxes)</t>
  </si>
  <si>
    <t>Minn. Compressor Fuel Tax (Other Taxes)</t>
  </si>
  <si>
    <t>Post 7/94 PGA Reconciliation Adj. (COS)</t>
  </si>
  <si>
    <t>Mrkt Development Costs Cap. (O&amp;M Direct)</t>
  </si>
  <si>
    <t>Various Storage Adjustment (O&amp;M Direct ??)</t>
  </si>
  <si>
    <t>PPA Deferrals (Transport Revenue ??)</t>
  </si>
  <si>
    <t>West Texas Order 528 Writeoff (Reg. Amort.)</t>
  </si>
  <si>
    <t>Hobbs Processing Co. Gain Adjustment</t>
  </si>
  <si>
    <t>IGIC II Settlement (Other Income)</t>
  </si>
  <si>
    <t>Simpson Formation Settlement (Other Inc.)</t>
  </si>
  <si>
    <t>Hobbs Income (Revenue Less Expense)</t>
  </si>
  <si>
    <t>GSR Reserve (Other Deductions)</t>
  </si>
  <si>
    <t>ANR Cushion Gas Sale (Other Revenue)</t>
  </si>
  <si>
    <t>EOG Settle. &amp; TCR/TOP Adj. (Reg. Amort.)</t>
  </si>
  <si>
    <t>TETCO,Mrkt Support,MI Insurance(O&amp;M Dir.)</t>
  </si>
  <si>
    <t>PGA Reconciliation Adj. (Other Deductions)</t>
  </si>
  <si>
    <t>MUD / Midwest Reserve (Other Deductions)</t>
  </si>
  <si>
    <t>14.0 Bcf Operational Storage (Trans. Rev.)</t>
  </si>
  <si>
    <t>IMP Adjustment (O&amp;M Direct)</t>
  </si>
  <si>
    <t>ANR Settlement (Transport Revenue)</t>
  </si>
  <si>
    <t>Contract Terminations Impact (O&amp;M Direct)</t>
  </si>
  <si>
    <t>State Income Tax Adjustments / Other</t>
  </si>
  <si>
    <t>HR, Variable Pay, EDS Capitalization (O&amp;M Dir.)</t>
  </si>
  <si>
    <t>Amoco / Matagorda Insurance Refund (O&amp;M Dir.)</t>
  </si>
  <si>
    <t>Panda A/R Writeoff (Other Deductions</t>
  </si>
  <si>
    <t>Rate Case - Seasonal (Trans. Rev. Only in 1999)</t>
  </si>
  <si>
    <t>- Global Settlement Refund Floor (Trans. Rev.)</t>
  </si>
  <si>
    <t>Deferred Taxes Charge (Partnership Income)</t>
  </si>
  <si>
    <t>Columbia Buyout Fee (Partner. Income)</t>
  </si>
  <si>
    <t>PROS Write-off (O&amp;M Direct)</t>
  </si>
  <si>
    <t>Bear Paw / KMI Litigation Settlement (Other Ded.)</t>
  </si>
  <si>
    <t>Bear Paw Acct. Mitigation Impact (Other Ded.)</t>
  </si>
  <si>
    <t>Beck / PROS / Work Order Write-offs (O&amp;M Direct)</t>
  </si>
  <si>
    <t>- Gallup Net Fuel / Electric</t>
  </si>
  <si>
    <t xml:space="preserve">Fuel Used in Operations </t>
  </si>
  <si>
    <t>Rate Case - 1998 Prior Yr. Adjustments (DD&amp;A)</t>
  </si>
  <si>
    <t>- Prior Yrs. Salvage Value Adjustments (DD&amp;A)</t>
  </si>
  <si>
    <t>DISCONTINUED OPERATIONS</t>
  </si>
  <si>
    <t>Total Discontinued Business</t>
  </si>
  <si>
    <t>Fuel / UAF (1994/1995) Issue (Fuel)</t>
  </si>
  <si>
    <t>Reverse WACOG Price Differential (Fuel)</t>
  </si>
  <si>
    <t>Discontinued Operations (See Schedule)</t>
  </si>
  <si>
    <t>SoCal Turnback Shared Cost Surcharge (Tran.Rev.)</t>
  </si>
  <si>
    <t>- Higher Filed (Billed) vs. Settled Rates (Trans. Rev.)</t>
  </si>
  <si>
    <t>- November (11/98) Revenues to Keep (Trans. Rev.)</t>
  </si>
  <si>
    <t>Y2K Deferral (O&amp;M Direct)  (.4 exp. Deferred)</t>
  </si>
  <si>
    <t>Y2K Deferral (O&amp;M Direct)  (3.5 exp. Deferred)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</si>
</sst>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6" formatCode="&quot;$&quot;#,##0.0_);[Red]\(&quot;$&quot;#,##0.0\)"/>
    <numFmt numFmtId="182" formatCode="&quot;$&quot;#,##0;\-&quot;$&quot;#,##0"/>
    <numFmt numFmtId="183" formatCode="&quot;$&quot;#,##0;[Red]\-&quot;$&quot;#,##0"/>
    <numFmt numFmtId="185" formatCode="&quot;$&quot;#,##0.00;[Red]\-&quot;$&quot;#,##0.00"/>
    <numFmt numFmtId="186" formatCode="_-&quot;$&quot;* #,##0_-;\-&quot;$&quot;* #,##0_-;_-&quot;$&quot;* &quot;-&quot;_-;_-@_-"/>
    <numFmt numFmtId="187" formatCode="_-* #,##0_-;\-* #,##0_-;_-* &quot;-&quot;_-;_-@_-"/>
    <numFmt numFmtId="188" formatCode="_-&quot;$&quot;* #,##0.00_-;\-&quot;$&quot;* #,##0.00_-;_-&quot;$&quot;* &quot;-&quot;??_-;_-@_-"/>
    <numFmt numFmtId="189" formatCode="_-* #,##0.00_-;\-* #,##0.00_-;_-* &quot;-&quot;??_-;_-@_-"/>
    <numFmt numFmtId="222" formatCode="General_)"/>
    <numFmt numFmtId="249" formatCode="&quot;£&quot;#,##0;[Red]\-&quot;£&quot;#,##0"/>
    <numFmt numFmtId="251" formatCode="&quot;£&quot;#,##0.00;[Red]\-&quot;£&quot;#,##0.00"/>
    <numFmt numFmtId="252" formatCode="_-&quot;£&quot;* #,##0_-;\-&quot;£&quot;* #,##0_-;_-&quot;£&quot;* &quot;-&quot;_-;_-@_-"/>
    <numFmt numFmtId="253" formatCode="_-&quot;£&quot;* #,##0.00_-;\-&quot;£&quot;* #,##0.00_-;_-&quot;£&quot;* &quot;-&quot;??_-;_-@_-"/>
    <numFmt numFmtId="295" formatCode="0.00_)"/>
    <numFmt numFmtId="309" formatCode="#,##0_);[Red]\(#,##0\);\-"/>
    <numFmt numFmtId="310" formatCode="&quot;$&quot;\ \ #,##0_);[Red]\(&quot;$&quot;\ \ #,##0\)"/>
    <numFmt numFmtId="311" formatCode="&quot;$&quot;\ \ #,##0.0_);[Red]\(&quot;$&quot;\ \ #,##0.0\)"/>
    <numFmt numFmtId="329" formatCode="_(* #,##0.0_);_(* \(#,##0.0\);_(* &quot;-&quot;_);_(@_)"/>
    <numFmt numFmtId="330" formatCode="#,##0.0000_);\(#,##0.0000\);_ \-\ \ "/>
    <numFmt numFmtId="331" formatCode="0.0_%;\(0.0\)%;\ \-\ \ \ "/>
    <numFmt numFmtId="332" formatCode="0.0%_;\(0.0\)%;\ \-\ \ \ "/>
  </numFmts>
  <fonts count="46">
    <font>
      <sz val="10"/>
      <name val="Arial"/>
    </font>
    <font>
      <sz val="10"/>
      <name val="Arial"/>
    </font>
    <font>
      <sz val="10"/>
      <name val="MS Sans Serif"/>
    </font>
    <font>
      <b/>
      <sz val="9.5"/>
      <name val="Courier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2"/>
      <name val="Arial"/>
    </font>
    <font>
      <sz val="8"/>
      <name val="Helv"/>
    </font>
    <font>
      <sz val="12"/>
      <name val="Arial MT"/>
    </font>
    <font>
      <sz val="11"/>
      <name val="Arial"/>
    </font>
    <font>
      <sz val="10"/>
      <name val="Times New Roman"/>
    </font>
    <font>
      <sz val="12"/>
      <name val="Helv"/>
    </font>
    <font>
      <sz val="10"/>
      <name val="SWISS"/>
    </font>
    <font>
      <sz val="8"/>
      <name val="SWISS"/>
    </font>
    <font>
      <sz val="10"/>
      <color indexed="8"/>
      <name val="MS Sans Serif"/>
    </font>
    <font>
      <sz val="10"/>
      <name val="Times New Roman"/>
      <family val="1"/>
    </font>
    <font>
      <sz val="9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SWISS"/>
    </font>
    <font>
      <sz val="10"/>
      <name val="Courier"/>
    </font>
    <font>
      <sz val="7"/>
      <name val="Arial Narrow"/>
      <family val="2"/>
    </font>
    <font>
      <sz val="9.85"/>
      <name val="Times New Roman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color indexed="17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10"/>
      <color indexed="5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10" fillId="0" borderId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295" fontId="13" fillId="0" borderId="0"/>
    <xf numFmtId="0" fontId="1" fillId="0" borderId="0"/>
    <xf numFmtId="0" fontId="1" fillId="0" borderId="0"/>
    <xf numFmtId="10" fontId="1" fillId="0" borderId="0" applyFont="0" applyFill="0" applyBorder="0" applyAlignment="0" applyProtection="0"/>
  </cellStyleXfs>
  <cellXfs count="144">
    <xf numFmtId="0" fontId="0" fillId="0" borderId="0" xfId="0"/>
    <xf numFmtId="0" fontId="12" fillId="0" borderId="0" xfId="9" applyFont="1" applyAlignment="1">
      <alignment horizontal="centerContinuous"/>
    </xf>
    <xf numFmtId="0" fontId="32" fillId="0" borderId="0" xfId="9" applyFont="1" applyAlignment="1">
      <alignment horizontal="centerContinuous"/>
    </xf>
    <xf numFmtId="0" fontId="1" fillId="0" borderId="0" xfId="9" applyAlignment="1">
      <alignment horizontal="centerContinuous"/>
    </xf>
    <xf numFmtId="0" fontId="1" fillId="0" borderId="0" xfId="9"/>
    <xf numFmtId="0" fontId="33" fillId="0" borderId="0" xfId="9" applyFont="1" applyAlignment="1">
      <alignment horizontal="centerContinuous"/>
    </xf>
    <xf numFmtId="0" fontId="32" fillId="0" borderId="0" xfId="9" applyFont="1"/>
    <xf numFmtId="0" fontId="33" fillId="0" borderId="0" xfId="9" quotePrefix="1" applyNumberFormat="1" applyFont="1" applyAlignment="1">
      <alignment horizontal="center"/>
    </xf>
    <xf numFmtId="0" fontId="33" fillId="0" borderId="0" xfId="9" quotePrefix="1" applyNumberFormat="1" applyFont="1" applyBorder="1" applyAlignment="1">
      <alignment horizontal="centerContinuous"/>
    </xf>
    <xf numFmtId="0" fontId="32" fillId="0" borderId="0" xfId="9" applyNumberFormat="1" applyFont="1" applyAlignment="1">
      <alignment horizontal="centerContinuous"/>
    </xf>
    <xf numFmtId="0" fontId="33" fillId="0" borderId="0" xfId="9" applyNumberFormat="1" applyFont="1" applyAlignment="1">
      <alignment horizontal="center"/>
    </xf>
    <xf numFmtId="0" fontId="33" fillId="0" borderId="0" xfId="9" quotePrefix="1" applyFont="1" applyAlignment="1">
      <alignment horizontal="left"/>
    </xf>
    <xf numFmtId="164" fontId="32" fillId="0" borderId="0" xfId="1" applyNumberFormat="1" applyFont="1"/>
    <xf numFmtId="164" fontId="32" fillId="0" borderId="5" xfId="1" applyNumberFormat="1" applyFont="1" applyBorder="1"/>
    <xf numFmtId="0" fontId="32" fillId="0" borderId="0" xfId="9" applyFont="1" applyAlignment="1">
      <alignment horizontal="left"/>
    </xf>
    <xf numFmtId="164" fontId="35" fillId="0" borderId="0" xfId="1" applyNumberFormat="1" applyFont="1" applyBorder="1"/>
    <xf numFmtId="164" fontId="35" fillId="0" borderId="0" xfId="1" applyNumberFormat="1" applyFont="1"/>
    <xf numFmtId="167" fontId="32" fillId="0" borderId="0" xfId="9" applyNumberFormat="1" applyFont="1" applyBorder="1"/>
    <xf numFmtId="168" fontId="1" fillId="0" borderId="0" xfId="9" applyNumberFormat="1"/>
    <xf numFmtId="0" fontId="33" fillId="0" borderId="0" xfId="9" applyFont="1" applyAlignment="1">
      <alignment horizontal="left"/>
    </xf>
    <xf numFmtId="164" fontId="33" fillId="0" borderId="0" xfId="1" applyNumberFormat="1" applyFont="1"/>
    <xf numFmtId="167" fontId="33" fillId="0" borderId="0" xfId="1" applyNumberFormat="1" applyFont="1"/>
    <xf numFmtId="167" fontId="32" fillId="0" borderId="0" xfId="9" applyNumberFormat="1" applyFont="1"/>
    <xf numFmtId="168" fontId="33" fillId="0" borderId="0" xfId="1" applyNumberFormat="1" applyFont="1"/>
    <xf numFmtId="167" fontId="32" fillId="0" borderId="0" xfId="1" applyNumberFormat="1" applyFont="1"/>
    <xf numFmtId="0" fontId="32" fillId="0" borderId="0" xfId="9" quotePrefix="1" applyFont="1" applyAlignment="1">
      <alignment horizontal="left"/>
    </xf>
    <xf numFmtId="164" fontId="32" fillId="0" borderId="0" xfId="1" applyNumberFormat="1" applyFont="1" applyBorder="1"/>
    <xf numFmtId="164" fontId="36" fillId="0" borderId="0" xfId="1" applyNumberFormat="1" applyFont="1"/>
    <xf numFmtId="168" fontId="32" fillId="0" borderId="0" xfId="1" applyNumberFormat="1" applyFont="1"/>
    <xf numFmtId="0" fontId="33" fillId="0" borderId="0" xfId="9" applyFont="1"/>
    <xf numFmtId="164" fontId="35" fillId="0" borderId="5" xfId="1" applyNumberFormat="1" applyFont="1" applyBorder="1"/>
    <xf numFmtId="164" fontId="34" fillId="0" borderId="0" xfId="1" applyNumberFormat="1" applyFont="1" applyBorder="1"/>
    <xf numFmtId="168" fontId="1" fillId="0" borderId="0" xfId="9" applyNumberFormat="1" applyBorder="1"/>
    <xf numFmtId="164" fontId="33" fillId="0" borderId="6" xfId="1" applyNumberFormat="1" applyFont="1" applyBorder="1"/>
    <xf numFmtId="164" fontId="32" fillId="0" borderId="0" xfId="1" quotePrefix="1" applyNumberFormat="1" applyFont="1" applyBorder="1" applyAlignment="1">
      <alignment horizontal="left"/>
    </xf>
    <xf numFmtId="164" fontId="32" fillId="0" borderId="0" xfId="1" quotePrefix="1" applyNumberFormat="1" applyFont="1" applyAlignment="1">
      <alignment horizontal="left"/>
    </xf>
    <xf numFmtId="164" fontId="33" fillId="0" borderId="0" xfId="1" applyNumberFormat="1" applyFont="1" applyBorder="1"/>
    <xf numFmtId="0" fontId="32" fillId="0" borderId="0" xfId="9" applyFont="1" applyBorder="1"/>
    <xf numFmtId="164" fontId="32" fillId="0" borderId="7" xfId="1" applyNumberFormat="1" applyFont="1" applyBorder="1"/>
    <xf numFmtId="0" fontId="32" fillId="0" borderId="7" xfId="9" applyFont="1" applyBorder="1"/>
    <xf numFmtId="168" fontId="1" fillId="0" borderId="7" xfId="9" applyNumberFormat="1" applyBorder="1"/>
    <xf numFmtId="0" fontId="32" fillId="0" borderId="8" xfId="9" quotePrefix="1" applyFont="1" applyBorder="1" applyAlignment="1">
      <alignment horizontal="left"/>
    </xf>
    <xf numFmtId="0" fontId="32" fillId="0" borderId="0" xfId="9" quotePrefix="1" applyFont="1" applyBorder="1" applyAlignment="1">
      <alignment horizontal="left"/>
    </xf>
    <xf numFmtId="167" fontId="1" fillId="0" borderId="0" xfId="9" applyNumberFormat="1" applyBorder="1"/>
    <xf numFmtId="164" fontId="37" fillId="0" borderId="0" xfId="1" applyNumberFormat="1" applyFont="1"/>
    <xf numFmtId="0" fontId="38" fillId="0" borderId="0" xfId="9" applyFont="1"/>
    <xf numFmtId="0" fontId="1" fillId="0" borderId="0" xfId="9" applyBorder="1"/>
    <xf numFmtId="0" fontId="1" fillId="0" borderId="8" xfId="9" quotePrefix="1" applyFont="1" applyBorder="1" applyAlignment="1">
      <alignment horizontal="left"/>
    </xf>
    <xf numFmtId="0" fontId="1" fillId="0" borderId="0" xfId="9" quotePrefix="1" applyBorder="1" applyAlignment="1">
      <alignment horizontal="left"/>
    </xf>
    <xf numFmtId="167" fontId="1" fillId="0" borderId="5" xfId="9" applyNumberFormat="1" applyBorder="1"/>
    <xf numFmtId="0" fontId="1" fillId="0" borderId="8" xfId="9" quotePrefix="1" applyBorder="1" applyAlignment="1">
      <alignment horizontal="left"/>
    </xf>
    <xf numFmtId="0" fontId="1" fillId="0" borderId="9" xfId="9" quotePrefix="1" applyBorder="1" applyAlignment="1">
      <alignment horizontal="left"/>
    </xf>
    <xf numFmtId="0" fontId="1" fillId="0" borderId="5" xfId="9" quotePrefix="1" applyBorder="1" applyAlignment="1">
      <alignment horizontal="left"/>
    </xf>
    <xf numFmtId="0" fontId="1" fillId="0" borderId="5" xfId="9" applyBorder="1"/>
    <xf numFmtId="0" fontId="12" fillId="0" borderId="0" xfId="8" applyFont="1" applyAlignment="1">
      <alignment horizontal="centerContinuous"/>
    </xf>
    <xf numFmtId="0" fontId="32" fillId="0" borderId="0" xfId="8" applyFont="1" applyAlignment="1">
      <alignment horizontal="centerContinuous"/>
    </xf>
    <xf numFmtId="0" fontId="1" fillId="0" borderId="0" xfId="8" applyAlignment="1">
      <alignment horizontal="centerContinuous"/>
    </xf>
    <xf numFmtId="0" fontId="1" fillId="0" borderId="0" xfId="8"/>
    <xf numFmtId="0" fontId="39" fillId="0" borderId="0" xfId="8" applyFont="1" applyAlignment="1">
      <alignment horizontal="centerContinuous"/>
    </xf>
    <xf numFmtId="0" fontId="33" fillId="0" borderId="0" xfId="8" applyFont="1" applyAlignment="1">
      <alignment horizontal="centerContinuous"/>
    </xf>
    <xf numFmtId="0" fontId="32" fillId="0" borderId="0" xfId="8" applyFont="1"/>
    <xf numFmtId="0" fontId="35" fillId="0" borderId="0" xfId="8" applyFont="1" applyAlignment="1">
      <alignment horizontal="centerContinuous"/>
    </xf>
    <xf numFmtId="14" fontId="39" fillId="0" borderId="0" xfId="8" applyNumberFormat="1" applyFont="1" applyAlignment="1">
      <alignment horizontal="center"/>
    </xf>
    <xf numFmtId="0" fontId="39" fillId="0" borderId="0" xfId="8" quotePrefix="1" applyFont="1" applyBorder="1" applyAlignment="1">
      <alignment horizontal="centerContinuous"/>
    </xf>
    <xf numFmtId="0" fontId="32" fillId="0" borderId="0" xfId="8" applyNumberFormat="1" applyFont="1" applyAlignment="1">
      <alignment horizontal="centerContinuous"/>
    </xf>
    <xf numFmtId="0" fontId="39" fillId="0" borderId="0" xfId="8" quotePrefix="1" applyNumberFormat="1" applyFont="1" applyAlignment="1">
      <alignment horizontal="center"/>
    </xf>
    <xf numFmtId="0" fontId="35" fillId="0" borderId="0" xfId="8" applyFont="1"/>
    <xf numFmtId="0" fontId="39" fillId="0" borderId="0" xfId="8" applyFont="1" applyAlignment="1">
      <alignment horizontal="center"/>
    </xf>
    <xf numFmtId="0" fontId="33" fillId="0" borderId="0" xfId="8" applyFont="1" applyAlignment="1">
      <alignment horizontal="center"/>
    </xf>
    <xf numFmtId="0" fontId="33" fillId="0" borderId="0" xfId="8" applyNumberFormat="1" applyFont="1" applyAlignment="1">
      <alignment horizontal="center"/>
    </xf>
    <xf numFmtId="0" fontId="39" fillId="0" borderId="5" xfId="8" quotePrefix="1" applyFont="1" applyBorder="1" applyAlignment="1">
      <alignment horizontal="center"/>
    </xf>
    <xf numFmtId="0" fontId="39" fillId="0" borderId="5" xfId="8" applyFont="1" applyBorder="1" applyAlignment="1">
      <alignment horizontal="center"/>
    </xf>
    <xf numFmtId="0" fontId="33" fillId="0" borderId="5" xfId="8" applyFont="1" applyBorder="1" applyAlignment="1">
      <alignment horizontal="center"/>
    </xf>
    <xf numFmtId="0" fontId="33" fillId="0" borderId="0" xfId="8" quotePrefix="1" applyFont="1" applyAlignment="1">
      <alignment horizontal="left"/>
    </xf>
    <xf numFmtId="164" fontId="40" fillId="0" borderId="0" xfId="1" applyNumberFormat="1" applyFont="1"/>
    <xf numFmtId="167" fontId="32" fillId="0" borderId="0" xfId="8" applyNumberFormat="1" applyFont="1"/>
    <xf numFmtId="167" fontId="1" fillId="0" borderId="0" xfId="8" applyNumberFormat="1"/>
    <xf numFmtId="0" fontId="32" fillId="0" borderId="0" xfId="8" quotePrefix="1" applyFont="1" applyAlignment="1">
      <alignment horizontal="left"/>
    </xf>
    <xf numFmtId="0" fontId="32" fillId="0" borderId="0" xfId="8" applyFont="1" applyAlignment="1">
      <alignment horizontal="left"/>
    </xf>
    <xf numFmtId="0" fontId="33" fillId="0" borderId="0" xfId="8" applyFont="1"/>
    <xf numFmtId="0" fontId="33" fillId="0" borderId="0" xfId="8" applyFont="1" applyAlignment="1">
      <alignment horizontal="left"/>
    </xf>
    <xf numFmtId="0" fontId="38" fillId="0" borderId="0" xfId="8" applyFont="1"/>
    <xf numFmtId="0" fontId="39" fillId="0" borderId="5" xfId="8" applyNumberFormat="1" applyFont="1" applyBorder="1" applyAlignment="1">
      <alignment horizontal="center"/>
    </xf>
    <xf numFmtId="0" fontId="41" fillId="0" borderId="0" xfId="9" applyFont="1" applyAlignment="1">
      <alignment horizontal="centerContinuous"/>
    </xf>
    <xf numFmtId="0" fontId="14" fillId="0" borderId="0" xfId="9" applyFont="1"/>
    <xf numFmtId="0" fontId="32" fillId="0" borderId="0" xfId="9" applyFont="1" applyAlignment="1"/>
    <xf numFmtId="0" fontId="33" fillId="0" borderId="0" xfId="9" applyFont="1" applyBorder="1" applyAlignment="1">
      <alignment horizontal="centerContinuous"/>
    </xf>
    <xf numFmtId="0" fontId="35" fillId="0" borderId="0" xfId="9" applyFont="1"/>
    <xf numFmtId="0" fontId="1" fillId="0" borderId="0" xfId="9" quotePrefix="1" applyFont="1" applyAlignment="1">
      <alignment horizontal="left"/>
    </xf>
    <xf numFmtId="167" fontId="1" fillId="0" borderId="0" xfId="9" applyNumberFormat="1"/>
    <xf numFmtId="0" fontId="35" fillId="0" borderId="0" xfId="9" applyFont="1" applyBorder="1"/>
    <xf numFmtId="0" fontId="41" fillId="0" borderId="0" xfId="8" applyFont="1" applyAlignment="1">
      <alignment horizontal="centerContinuous"/>
    </xf>
    <xf numFmtId="0" fontId="14" fillId="0" borderId="0" xfId="8" applyFont="1" applyAlignment="1">
      <alignment horizontal="centerContinuous"/>
    </xf>
    <xf numFmtId="0" fontId="14" fillId="0" borderId="0" xfId="8" applyFont="1"/>
    <xf numFmtId="0" fontId="32" fillId="0" borderId="0" xfId="8" applyFont="1" applyAlignment="1"/>
    <xf numFmtId="0" fontId="33" fillId="0" borderId="0" xfId="8" applyFont="1" applyBorder="1" applyAlignment="1">
      <alignment horizontal="centerContinuous"/>
    </xf>
    <xf numFmtId="0" fontId="35" fillId="0" borderId="0" xfId="8" applyFont="1" applyBorder="1"/>
    <xf numFmtId="0" fontId="32" fillId="0" borderId="0" xfId="8" applyFont="1" applyBorder="1"/>
    <xf numFmtId="0" fontId="1" fillId="0" borderId="0" xfId="8" applyBorder="1"/>
    <xf numFmtId="167" fontId="35" fillId="0" borderId="0" xfId="8" applyNumberFormat="1" applyFont="1"/>
    <xf numFmtId="167" fontId="35" fillId="0" borderId="5" xfId="8" applyNumberFormat="1" applyFont="1" applyBorder="1"/>
    <xf numFmtId="164" fontId="36" fillId="0" borderId="5" xfId="1" applyNumberFormat="1" applyFont="1" applyBorder="1"/>
    <xf numFmtId="0" fontId="42" fillId="0" borderId="0" xfId="8" applyFont="1" applyBorder="1" applyAlignment="1">
      <alignment horizontal="centerContinuous"/>
    </xf>
    <xf numFmtId="0" fontId="42" fillId="0" borderId="0" xfId="8" applyFont="1" applyAlignment="1">
      <alignment horizontal="centerContinuous"/>
    </xf>
    <xf numFmtId="0" fontId="12" fillId="0" borderId="0" xfId="8" applyFont="1" applyBorder="1" applyAlignment="1">
      <alignment horizontal="centerContinuous"/>
    </xf>
    <xf numFmtId="0" fontId="42" fillId="0" borderId="0" xfId="9" applyFont="1" applyAlignment="1">
      <alignment horizontal="centerContinuous"/>
    </xf>
    <xf numFmtId="168" fontId="35" fillId="0" borderId="0" xfId="9" applyNumberFormat="1" applyFont="1"/>
    <xf numFmtId="168" fontId="35" fillId="0" borderId="5" xfId="9" applyNumberFormat="1" applyFont="1" applyBorder="1"/>
    <xf numFmtId="164" fontId="35" fillId="0" borderId="0" xfId="1" quotePrefix="1" applyNumberFormat="1" applyFont="1" applyAlignment="1">
      <alignment horizontal="left"/>
    </xf>
    <xf numFmtId="164" fontId="35" fillId="0" borderId="5" xfId="1" quotePrefix="1" applyNumberFormat="1" applyFont="1" applyBorder="1" applyAlignment="1">
      <alignment horizontal="left"/>
    </xf>
    <xf numFmtId="168" fontId="40" fillId="0" borderId="0" xfId="9" applyNumberFormat="1" applyFont="1"/>
    <xf numFmtId="167" fontId="35" fillId="0" borderId="0" xfId="1" applyNumberFormat="1" applyFont="1" applyBorder="1"/>
    <xf numFmtId="167" fontId="35" fillId="0" borderId="0" xfId="9" applyNumberFormat="1" applyFont="1" applyBorder="1"/>
    <xf numFmtId="167" fontId="35" fillId="0" borderId="5" xfId="9" applyNumberFormat="1" applyFont="1" applyBorder="1"/>
    <xf numFmtId="0" fontId="14" fillId="0" borderId="0" xfId="9" applyFont="1" applyAlignment="1">
      <alignment horizontal="centerContinuous"/>
    </xf>
    <xf numFmtId="0" fontId="1" fillId="0" borderId="0" xfId="9" quotePrefix="1" applyFont="1" applyBorder="1" applyAlignment="1">
      <alignment horizontal="left"/>
    </xf>
    <xf numFmtId="164" fontId="36" fillId="0" borderId="0" xfId="1" applyNumberFormat="1" applyFont="1" applyBorder="1"/>
    <xf numFmtId="164" fontId="36" fillId="0" borderId="0" xfId="1" quotePrefix="1" applyNumberFormat="1" applyFont="1" applyBorder="1" applyAlignment="1">
      <alignment horizontal="left"/>
    </xf>
    <xf numFmtId="0" fontId="1" fillId="0" borderId="0" xfId="9" applyFont="1"/>
    <xf numFmtId="164" fontId="43" fillId="0" borderId="0" xfId="1" applyNumberFormat="1" applyFont="1" applyBorder="1"/>
    <xf numFmtId="164" fontId="43" fillId="0" borderId="0" xfId="1" applyNumberFormat="1" applyFont="1"/>
    <xf numFmtId="164" fontId="40" fillId="0" borderId="5" xfId="1" applyNumberFormat="1" applyFont="1" applyBorder="1"/>
    <xf numFmtId="164" fontId="36" fillId="0" borderId="0" xfId="1" quotePrefix="1" applyNumberFormat="1" applyFont="1" applyAlignment="1">
      <alignment horizontal="left"/>
    </xf>
    <xf numFmtId="164" fontId="35" fillId="0" borderId="0" xfId="1" quotePrefix="1" applyNumberFormat="1" applyFont="1" applyBorder="1" applyAlignment="1">
      <alignment horizontal="left"/>
    </xf>
    <xf numFmtId="15" fontId="37" fillId="0" borderId="0" xfId="9" applyNumberFormat="1" applyFont="1"/>
    <xf numFmtId="167" fontId="32" fillId="0" borderId="10" xfId="9" applyNumberFormat="1" applyFont="1" applyBorder="1"/>
    <xf numFmtId="167" fontId="1" fillId="0" borderId="10" xfId="9" applyNumberFormat="1" applyBorder="1"/>
    <xf numFmtId="0" fontId="33" fillId="0" borderId="0" xfId="9" applyFont="1" applyBorder="1"/>
    <xf numFmtId="167" fontId="33" fillId="0" borderId="0" xfId="9" applyNumberFormat="1" applyFont="1" applyBorder="1"/>
    <xf numFmtId="164" fontId="32" fillId="0" borderId="11" xfId="1" applyNumberFormat="1" applyFont="1" applyBorder="1"/>
    <xf numFmtId="0" fontId="1" fillId="0" borderId="12" xfId="9" applyBorder="1"/>
    <xf numFmtId="0" fontId="1" fillId="0" borderId="13" xfId="9" applyBorder="1"/>
    <xf numFmtId="0" fontId="1" fillId="0" borderId="14" xfId="9" applyBorder="1"/>
    <xf numFmtId="164" fontId="39" fillId="0" borderId="0" xfId="1" applyNumberFormat="1" applyFont="1"/>
    <xf numFmtId="164" fontId="39" fillId="0" borderId="0" xfId="1" applyNumberFormat="1" applyFont="1" applyBorder="1"/>
    <xf numFmtId="0" fontId="33" fillId="0" borderId="0" xfId="8" applyFont="1" applyBorder="1" applyAlignment="1">
      <alignment horizontal="center"/>
    </xf>
    <xf numFmtId="164" fontId="40" fillId="0" borderId="0" xfId="1" applyNumberFormat="1" applyFont="1" applyBorder="1"/>
    <xf numFmtId="164" fontId="39" fillId="0" borderId="6" xfId="1" applyNumberFormat="1" applyFont="1" applyBorder="1"/>
    <xf numFmtId="164" fontId="43" fillId="0" borderId="0" xfId="1" quotePrefix="1" applyNumberFormat="1" applyFont="1" applyBorder="1" applyAlignment="1">
      <alignment horizontal="left"/>
    </xf>
    <xf numFmtId="0" fontId="43" fillId="0" borderId="0" xfId="9" applyFont="1"/>
    <xf numFmtId="0" fontId="1" fillId="0" borderId="0" xfId="8" applyFont="1"/>
    <xf numFmtId="164" fontId="44" fillId="0" borderId="0" xfId="1" applyNumberFormat="1" applyFont="1"/>
    <xf numFmtId="164" fontId="45" fillId="0" borderId="0" xfId="1" applyNumberFormat="1" applyFont="1"/>
    <xf numFmtId="164" fontId="44" fillId="0" borderId="0" xfId="1" applyNumberFormat="1" applyFont="1" applyBorder="1"/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1st_pass" xfId="8"/>
    <cellStyle name="Normal_TW1st_pass" xfId="9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GPG%20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"/>
      <sheetName val="Income Detail"/>
      <sheetName val="QTR INC"/>
      <sheetName val="FundsFlow"/>
      <sheetName val="Obligations"/>
      <sheetName val="EXPOSURES"/>
      <sheetName val="YR-YR IBIT"/>
      <sheetName val="YR-YR FF"/>
      <sheetName val="YR-YR OB"/>
      <sheetName val="O&amp;M-TW"/>
      <sheetName val="O&amp;M_NNG"/>
      <sheetName val="O&amp;M by Process"/>
      <sheetName val="capex"/>
      <sheetName val="STAFFING"/>
      <sheetName val="CORP REQUIRED"/>
      <sheetName val="OTHER OBLIGATION"/>
      <sheetName val="PRMA"/>
      <sheetName val="Merchant"/>
      <sheetName val="CapEx &amp; Investing"/>
      <sheetName val="Investing"/>
      <sheetName val="Investing Supp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>
    <pageSetUpPr fitToPage="1"/>
  </sheetPr>
  <dimension ref="A1:W87"/>
  <sheetViews>
    <sheetView tabSelected="1" topLeftCell="A6" zoomScaleNormal="100" workbookViewId="0">
      <pane xSplit="4" ySplit="2" topLeftCell="I8" activePane="bottomRight" state="frozen"/>
      <selection activeCell="A6" sqref="A6"/>
      <selection pane="topRight" activeCell="E6" sqref="E6"/>
      <selection pane="bottomLeft" activeCell="A8" sqref="A8"/>
      <selection pane="bottomRight" activeCell="Q25" sqref="Q25"/>
    </sheetView>
  </sheetViews>
  <sheetFormatPr defaultColWidth="9.109375" defaultRowHeight="13.2"/>
  <cols>
    <col min="1" max="2" width="1.6640625" style="57" customWidth="1"/>
    <col min="3" max="3" width="35.6640625" style="57" customWidth="1"/>
    <col min="4" max="4" width="5.6640625" style="57" customWidth="1"/>
    <col min="5" max="5" width="8.6640625" style="57" customWidth="1"/>
    <col min="6" max="6" width="2.6640625" style="57" customWidth="1"/>
    <col min="7" max="7" width="8.6640625" style="57" customWidth="1"/>
    <col min="8" max="8" width="2.6640625" style="57" customWidth="1"/>
    <col min="9" max="9" width="8.6640625" style="57" customWidth="1"/>
    <col min="10" max="10" width="2.6640625" style="57" customWidth="1"/>
    <col min="11" max="11" width="8.6640625" style="57" customWidth="1"/>
    <col min="12" max="12" width="2.6640625" style="57" customWidth="1"/>
    <col min="13" max="13" width="8.6640625" style="57" customWidth="1"/>
    <col min="14" max="14" width="2.6640625" style="57" customWidth="1"/>
    <col min="15" max="15" width="8.6640625" style="57" customWidth="1"/>
    <col min="16" max="16" width="2.6640625" style="57" customWidth="1"/>
    <col min="17" max="17" width="8.6640625" style="57" customWidth="1"/>
    <col min="18" max="18" width="2.6640625" style="57" customWidth="1"/>
    <col min="19" max="19" width="8.6640625" style="57" customWidth="1"/>
    <col min="20" max="20" width="2.6640625" style="57" customWidth="1"/>
    <col min="21" max="21" width="8.6640625" style="57" customWidth="1"/>
    <col min="22" max="22" width="2.6640625" style="57" customWidth="1"/>
    <col min="23" max="23" width="8.6640625" style="57" customWidth="1"/>
    <col min="24" max="16384" width="9.109375" style="57"/>
  </cols>
  <sheetData>
    <row r="1" spans="1:23" ht="15.75" customHeight="1">
      <c r="A1" s="102" t="s">
        <v>85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  <c r="R1" s="55"/>
      <c r="S1" s="55"/>
      <c r="T1" s="55"/>
      <c r="U1" s="55"/>
      <c r="V1" s="56"/>
      <c r="W1" s="56"/>
    </row>
    <row r="2" spans="1:23" ht="15.75" customHeight="1">
      <c r="A2" s="103" t="s">
        <v>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5"/>
      <c r="S2" s="55"/>
      <c r="T2" s="55"/>
      <c r="U2" s="55"/>
      <c r="V2" s="56"/>
      <c r="W2" s="56"/>
    </row>
    <row r="3" spans="1:23" ht="12.75" customHeight="1">
      <c r="A3" s="58" t="s">
        <v>32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6"/>
      <c r="W3" s="56"/>
    </row>
    <row r="4" spans="1:23" ht="12.75" customHeight="1">
      <c r="A4" s="59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60"/>
      <c r="U4" s="60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2"/>
      <c r="R5" s="61"/>
      <c r="S5" s="63"/>
      <c r="T5" s="60"/>
      <c r="U5" s="60"/>
    </row>
    <row r="6" spans="1:23" ht="12.75" customHeight="1">
      <c r="A6" s="60"/>
      <c r="B6" s="60"/>
      <c r="C6" s="60"/>
      <c r="D6" s="64"/>
      <c r="E6" s="65" t="s">
        <v>91</v>
      </c>
      <c r="F6" s="64"/>
      <c r="G6" s="65" t="s">
        <v>90</v>
      </c>
      <c r="H6" s="64"/>
      <c r="I6" s="65" t="s">
        <v>89</v>
      </c>
      <c r="J6" s="64"/>
      <c r="K6" s="65" t="s">
        <v>88</v>
      </c>
      <c r="L6" s="64"/>
      <c r="M6" s="65" t="s">
        <v>87</v>
      </c>
      <c r="N6" s="64"/>
      <c r="O6" s="65" t="s">
        <v>84</v>
      </c>
      <c r="P6" s="65"/>
      <c r="Q6" s="65" t="s">
        <v>33</v>
      </c>
      <c r="R6" s="66"/>
      <c r="S6" s="67">
        <v>2000</v>
      </c>
      <c r="T6" s="60"/>
      <c r="U6" s="67">
        <v>2001</v>
      </c>
      <c r="V6" s="66"/>
      <c r="W6" s="67">
        <v>2002</v>
      </c>
    </row>
    <row r="7" spans="1:23" ht="12.75" customHeight="1">
      <c r="A7" s="60"/>
      <c r="B7" s="60"/>
      <c r="C7" s="60"/>
      <c r="D7" s="69"/>
      <c r="E7" s="82" t="s">
        <v>56</v>
      </c>
      <c r="F7" s="69"/>
      <c r="G7" s="82" t="s">
        <v>56</v>
      </c>
      <c r="H7" s="69"/>
      <c r="I7" s="82" t="s">
        <v>56</v>
      </c>
      <c r="J7" s="69"/>
      <c r="K7" s="82" t="s">
        <v>56</v>
      </c>
      <c r="L7" s="69"/>
      <c r="M7" s="82" t="s">
        <v>56</v>
      </c>
      <c r="N7" s="69"/>
      <c r="O7" s="82" t="s">
        <v>56</v>
      </c>
      <c r="P7" s="66"/>
      <c r="Q7" s="82" t="s">
        <v>56</v>
      </c>
      <c r="R7" s="66"/>
      <c r="S7" s="70" t="s">
        <v>0</v>
      </c>
      <c r="T7" s="60"/>
      <c r="U7" s="71" t="s">
        <v>0</v>
      </c>
      <c r="V7" s="66"/>
      <c r="W7" s="71" t="s">
        <v>0</v>
      </c>
    </row>
    <row r="8" spans="1:23" ht="12.75" customHeight="1">
      <c r="A8" s="73" t="s">
        <v>34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3" ht="12.75" customHeight="1">
      <c r="A9" s="73"/>
      <c r="B9" s="60" t="s">
        <v>35</v>
      </c>
      <c r="C9" s="60"/>
      <c r="D9" s="12"/>
      <c r="E9" s="27">
        <f>301.2-1.5-2.6-15.3-7.2</f>
        <v>274.59999999999997</v>
      </c>
      <c r="F9" s="12"/>
      <c r="G9" s="27">
        <f>344.5-1.3-2.6+0.4</f>
        <v>340.99999999999994</v>
      </c>
      <c r="H9" s="12"/>
      <c r="I9" s="27">
        <f>354.1-1.3-7.5+2.9</f>
        <v>348.2</v>
      </c>
      <c r="J9" s="12"/>
      <c r="K9" s="16">
        <v>351.1</v>
      </c>
      <c r="L9" s="12"/>
      <c r="M9" s="16">
        <v>353.1</v>
      </c>
      <c r="N9" s="12"/>
      <c r="O9" s="27">
        <f>(351.3+9.5)+0.3-9.5</f>
        <v>351.6</v>
      </c>
      <c r="P9" s="74"/>
      <c r="Q9" s="27">
        <f>(371.5-9.5)-16+9.5-4.4</f>
        <v>351.1</v>
      </c>
      <c r="R9" s="16"/>
      <c r="S9" s="16">
        <v>327.3</v>
      </c>
      <c r="T9" s="66"/>
      <c r="U9" s="99">
        <v>328.6</v>
      </c>
      <c r="V9" s="99"/>
      <c r="W9" s="99">
        <v>329.3</v>
      </c>
    </row>
    <row r="10" spans="1:23" ht="12.75" customHeight="1">
      <c r="A10" s="73"/>
      <c r="B10" s="60"/>
      <c r="C10" s="77" t="s">
        <v>36</v>
      </c>
      <c r="D10" s="12"/>
      <c r="E10" s="142">
        <f>184.4+(42.6-37.9)</f>
        <v>189.10000000000002</v>
      </c>
      <c r="F10" s="12"/>
      <c r="G10" s="142">
        <f>117.6+(36.3-37.9)</f>
        <v>116</v>
      </c>
      <c r="H10" s="12"/>
      <c r="I10" s="16">
        <v>70.8</v>
      </c>
      <c r="J10" s="12"/>
      <c r="K10" s="16">
        <v>60.5</v>
      </c>
      <c r="L10" s="12"/>
      <c r="M10" s="16">
        <v>50.2</v>
      </c>
      <c r="N10" s="12"/>
      <c r="O10" s="16">
        <v>43.6</v>
      </c>
      <c r="P10" s="16"/>
      <c r="Q10" s="16">
        <v>40.799999999999997</v>
      </c>
      <c r="R10" s="16"/>
      <c r="S10" s="16">
        <v>31.7</v>
      </c>
      <c r="T10" s="66"/>
      <c r="U10" s="99">
        <v>31.8</v>
      </c>
      <c r="V10" s="99"/>
      <c r="W10" s="99">
        <v>31.9</v>
      </c>
    </row>
    <row r="11" spans="1:23" ht="12.75" customHeight="1">
      <c r="A11" s="73"/>
      <c r="B11" s="60" t="s">
        <v>37</v>
      </c>
      <c r="C11" s="60"/>
      <c r="D11" s="12"/>
      <c r="E11" s="74">
        <v>22.9</v>
      </c>
      <c r="F11" s="12"/>
      <c r="G11" s="74">
        <v>30.2</v>
      </c>
      <c r="H11" s="12"/>
      <c r="I11" s="74">
        <v>29.2</v>
      </c>
      <c r="J11" s="12"/>
      <c r="K11" s="16">
        <v>29.7</v>
      </c>
      <c r="L11" s="12"/>
      <c r="M11" s="16">
        <v>33.700000000000003</v>
      </c>
      <c r="N11" s="12"/>
      <c r="O11" s="16">
        <v>36.299999999999997</v>
      </c>
      <c r="P11" s="16"/>
      <c r="Q11" s="16">
        <v>36.1</v>
      </c>
      <c r="R11" s="16"/>
      <c r="S11" s="99">
        <v>35</v>
      </c>
      <c r="T11" s="66"/>
      <c r="U11" s="99">
        <v>35</v>
      </c>
      <c r="V11" s="99"/>
      <c r="W11" s="99">
        <v>35</v>
      </c>
    </row>
    <row r="12" spans="1:23" ht="12.75" customHeight="1">
      <c r="A12" s="73"/>
      <c r="B12" s="77" t="s">
        <v>38</v>
      </c>
      <c r="C12" s="77"/>
      <c r="D12" s="60"/>
      <c r="E12" s="16">
        <v>0</v>
      </c>
      <c r="F12" s="60"/>
      <c r="G12" s="16">
        <v>0</v>
      </c>
      <c r="H12" s="60"/>
      <c r="I12" s="16">
        <v>0</v>
      </c>
      <c r="J12" s="60"/>
      <c r="K12" s="16">
        <v>0</v>
      </c>
      <c r="L12" s="60"/>
      <c r="M12" s="16">
        <v>0</v>
      </c>
      <c r="N12" s="60"/>
      <c r="O12" s="16">
        <v>0</v>
      </c>
      <c r="P12" s="16"/>
      <c r="Q12" s="16">
        <v>0</v>
      </c>
      <c r="R12" s="60"/>
      <c r="S12" s="16">
        <v>27.6</v>
      </c>
      <c r="T12" s="60"/>
      <c r="U12" s="16">
        <v>33.200000000000003</v>
      </c>
      <c r="V12" s="76"/>
      <c r="W12" s="16">
        <v>41.2</v>
      </c>
    </row>
    <row r="13" spans="1:23" ht="12.75" customHeight="1">
      <c r="A13" s="73"/>
      <c r="B13" s="78" t="s">
        <v>39</v>
      </c>
      <c r="C13" s="77"/>
      <c r="D13" s="60"/>
      <c r="E13" s="16">
        <v>0</v>
      </c>
      <c r="F13" s="60"/>
      <c r="G13" s="16">
        <v>0</v>
      </c>
      <c r="H13" s="60"/>
      <c r="I13" s="16">
        <v>0</v>
      </c>
      <c r="J13" s="60"/>
      <c r="K13" s="16">
        <v>0</v>
      </c>
      <c r="L13" s="60"/>
      <c r="M13" s="16">
        <v>0</v>
      </c>
      <c r="N13" s="60"/>
      <c r="O13" s="16">
        <v>0</v>
      </c>
      <c r="P13" s="16"/>
      <c r="Q13" s="16">
        <v>0</v>
      </c>
      <c r="R13" s="60"/>
      <c r="S13" s="16">
        <v>5</v>
      </c>
      <c r="T13" s="60"/>
      <c r="U13" s="16">
        <v>7.5</v>
      </c>
      <c r="V13" s="76"/>
      <c r="W13" s="16">
        <v>7.5</v>
      </c>
    </row>
    <row r="14" spans="1:23" ht="12.75" customHeight="1">
      <c r="A14" s="73"/>
      <c r="B14" s="57" t="s">
        <v>40</v>
      </c>
      <c r="C14" s="60"/>
      <c r="D14" s="12"/>
      <c r="E14" s="16">
        <v>0</v>
      </c>
      <c r="F14" s="12"/>
      <c r="G14" s="16">
        <v>0</v>
      </c>
      <c r="H14" s="12"/>
      <c r="I14" s="16">
        <v>0</v>
      </c>
      <c r="J14" s="12"/>
      <c r="K14" s="16">
        <v>0</v>
      </c>
      <c r="L14" s="12"/>
      <c r="M14" s="16">
        <v>0</v>
      </c>
      <c r="N14" s="12"/>
      <c r="O14" s="16">
        <v>0</v>
      </c>
      <c r="P14" s="16"/>
      <c r="Q14" s="16">
        <v>0</v>
      </c>
      <c r="R14" s="16"/>
      <c r="S14" s="16">
        <v>6.2</v>
      </c>
      <c r="T14" s="60"/>
      <c r="U14" s="16">
        <v>6.3</v>
      </c>
      <c r="V14" s="76"/>
      <c r="W14" s="16">
        <v>8.3000000000000007</v>
      </c>
    </row>
    <row r="15" spans="1:23" ht="12.75" customHeight="1">
      <c r="A15" s="73"/>
      <c r="B15" s="78" t="s">
        <v>3</v>
      </c>
      <c r="C15" s="60"/>
      <c r="D15" s="12"/>
      <c r="E15" s="101">
        <f>(13.7-2.8)-7.5</f>
        <v>3.3999999999999986</v>
      </c>
      <c r="F15" s="12"/>
      <c r="G15" s="101">
        <f>4.2-0.5</f>
        <v>3.7</v>
      </c>
      <c r="H15" s="12"/>
      <c r="I15" s="101">
        <f>(5.6-0.7)-2.6-0.8</f>
        <v>1.4999999999999993</v>
      </c>
      <c r="J15" s="12"/>
      <c r="K15" s="30">
        <v>0</v>
      </c>
      <c r="L15" s="12"/>
      <c r="M15" s="30">
        <v>0.2</v>
      </c>
      <c r="N15" s="12"/>
      <c r="O15" s="101">
        <f>0.7-0.5</f>
        <v>0.19999999999999996</v>
      </c>
      <c r="P15" s="12"/>
      <c r="Q15" s="30">
        <f>-1+0.2</f>
        <v>-0.8</v>
      </c>
      <c r="R15" s="16"/>
      <c r="S15" s="30">
        <v>1</v>
      </c>
      <c r="T15" s="66"/>
      <c r="U15" s="100">
        <v>1</v>
      </c>
      <c r="V15" s="99"/>
      <c r="W15" s="100">
        <v>1</v>
      </c>
    </row>
    <row r="16" spans="1:23" ht="3.9" customHeight="1">
      <c r="A16" s="73"/>
      <c r="B16" s="77"/>
      <c r="C16" s="60"/>
      <c r="D16" s="12"/>
      <c r="E16" s="15"/>
      <c r="F16" s="12"/>
      <c r="G16" s="15"/>
      <c r="H16" s="12"/>
      <c r="I16" s="15"/>
      <c r="J16" s="12"/>
      <c r="K16" s="15"/>
      <c r="L16" s="12"/>
      <c r="M16" s="15"/>
      <c r="N16" s="12"/>
      <c r="O16" s="15"/>
      <c r="P16" s="12"/>
      <c r="Q16" s="15"/>
      <c r="R16" s="16"/>
      <c r="S16" s="26"/>
      <c r="T16" s="60"/>
      <c r="U16" s="75"/>
      <c r="V16" s="76"/>
      <c r="W16" s="76"/>
    </row>
    <row r="17" spans="1:23" ht="12.75" customHeight="1">
      <c r="A17" s="73"/>
      <c r="B17" s="60"/>
      <c r="C17" s="73" t="s">
        <v>2</v>
      </c>
      <c r="D17" s="20"/>
      <c r="E17" s="20">
        <f>SUM(E9:E15)</f>
        <v>489.99999999999994</v>
      </c>
      <c r="F17" s="20"/>
      <c r="G17" s="20">
        <f>SUM(G9:G15)</f>
        <v>490.89999999999992</v>
      </c>
      <c r="H17" s="20"/>
      <c r="I17" s="20">
        <f>SUM(I9:I15)</f>
        <v>449.7</v>
      </c>
      <c r="J17" s="20"/>
      <c r="K17" s="20">
        <f>SUM(K9:K15)</f>
        <v>441.3</v>
      </c>
      <c r="L17" s="20"/>
      <c r="M17" s="20">
        <f>SUM(M9:M15)</f>
        <v>437.2</v>
      </c>
      <c r="N17" s="20"/>
      <c r="O17" s="20">
        <f>SUM(O9:O15)</f>
        <v>431.70000000000005</v>
      </c>
      <c r="P17" s="20"/>
      <c r="Q17" s="20">
        <f>SUM(Q9:Q15)</f>
        <v>427.20000000000005</v>
      </c>
      <c r="R17" s="20"/>
      <c r="S17" s="20">
        <f>SUM(S9:S15)</f>
        <v>433.8</v>
      </c>
      <c r="T17" s="75"/>
      <c r="U17" s="21">
        <f>SUM(U9:U15)</f>
        <v>443.40000000000003</v>
      </c>
      <c r="V17" s="76"/>
      <c r="W17" s="21">
        <f>SUM(W9:W15)</f>
        <v>454.2</v>
      </c>
    </row>
    <row r="18" spans="1:23" ht="3.9" customHeight="1">
      <c r="A18" s="73"/>
      <c r="B18" s="60"/>
      <c r="C18" s="7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5"/>
      <c r="U18" s="75"/>
      <c r="V18" s="76"/>
      <c r="W18" s="76"/>
    </row>
    <row r="19" spans="1:23" ht="12.75" customHeight="1">
      <c r="A19" s="73"/>
      <c r="B19" s="77" t="s">
        <v>41</v>
      </c>
      <c r="C19" s="77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2"/>
      <c r="Q19" s="16">
        <v>2.2000000000000002</v>
      </c>
      <c r="R19" s="12"/>
      <c r="S19" s="16">
        <v>2.2999999999999998</v>
      </c>
      <c r="T19" s="60"/>
      <c r="U19" s="99">
        <v>2.2999999999999998</v>
      </c>
      <c r="V19" s="99"/>
      <c r="W19" s="99">
        <v>2.2999999999999998</v>
      </c>
    </row>
    <row r="20" spans="1:23" ht="12.75" customHeight="1">
      <c r="A20" s="73"/>
      <c r="B20" s="60" t="s">
        <v>42</v>
      </c>
      <c r="C20" s="77"/>
      <c r="D20" s="12"/>
      <c r="E20" s="121">
        <f>25.8-22.9-5.2</f>
        <v>-2.299999999999998</v>
      </c>
      <c r="F20" s="12"/>
      <c r="G20" s="121">
        <f>38.3-30.2-5.2-2.4</f>
        <v>0.49999999999999778</v>
      </c>
      <c r="H20" s="12"/>
      <c r="I20" s="101">
        <f>33.3-29.2-4.1</f>
        <v>0</v>
      </c>
      <c r="J20" s="12"/>
      <c r="K20" s="30">
        <v>3.5</v>
      </c>
      <c r="L20" s="12"/>
      <c r="M20" s="101">
        <f>5.9-2.5-1.1-0.3</f>
        <v>2.0000000000000004</v>
      </c>
      <c r="N20" s="12"/>
      <c r="O20" s="101">
        <f>2.8-1.5-0.3</f>
        <v>0.99999999999999978</v>
      </c>
      <c r="P20" s="12"/>
      <c r="Q20" s="101">
        <f>1-0.2+0.2</f>
        <v>1</v>
      </c>
      <c r="R20" s="12"/>
      <c r="S20" s="101">
        <f>0.3+0.3</f>
        <v>0.6</v>
      </c>
      <c r="T20" s="60"/>
      <c r="U20" s="100">
        <v>0.3</v>
      </c>
      <c r="V20" s="99"/>
      <c r="W20" s="100">
        <v>0.3</v>
      </c>
    </row>
    <row r="21" spans="1:23" ht="3.9" customHeight="1">
      <c r="A21" s="73"/>
      <c r="B21" s="60"/>
      <c r="C21" s="7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60"/>
      <c r="U21" s="75"/>
      <c r="V21" s="76"/>
      <c r="W21" s="76"/>
    </row>
    <row r="22" spans="1:23" ht="12.75" customHeight="1">
      <c r="A22" s="73"/>
      <c r="B22" s="60"/>
      <c r="C22" s="77" t="s">
        <v>43</v>
      </c>
      <c r="D22" s="12"/>
      <c r="E22" s="12">
        <f>SUM(E17:E20)</f>
        <v>487.69999999999993</v>
      </c>
      <c r="F22" s="12"/>
      <c r="G22" s="12">
        <f>SUM(G17:G20)</f>
        <v>491.39999999999992</v>
      </c>
      <c r="H22" s="12"/>
      <c r="I22" s="12">
        <f>SUM(I17:I20)</f>
        <v>449.7</v>
      </c>
      <c r="J22" s="12"/>
      <c r="K22" s="12">
        <f>SUM(K17:K20)</f>
        <v>444.8</v>
      </c>
      <c r="L22" s="12"/>
      <c r="M22" s="12">
        <f>SUM(M17:M20)</f>
        <v>439.2</v>
      </c>
      <c r="N22" s="12"/>
      <c r="O22" s="12">
        <f>SUM(O17:O20)</f>
        <v>432.70000000000005</v>
      </c>
      <c r="P22" s="12"/>
      <c r="Q22" s="12">
        <f>SUM(Q17:Q20)</f>
        <v>430.40000000000003</v>
      </c>
      <c r="R22" s="12"/>
      <c r="S22" s="12">
        <f>SUM(S17:S20)</f>
        <v>436.70000000000005</v>
      </c>
      <c r="T22" s="75"/>
      <c r="U22" s="24">
        <f>SUM(U17:U20)</f>
        <v>446.00000000000006</v>
      </c>
      <c r="V22" s="75"/>
      <c r="W22" s="24">
        <f>SUM(W17:W20)</f>
        <v>456.8</v>
      </c>
    </row>
    <row r="23" spans="1:23" ht="6" customHeight="1">
      <c r="A23" s="73"/>
      <c r="B23" s="60"/>
      <c r="C23" s="7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60"/>
      <c r="U23" s="75"/>
      <c r="V23" s="76"/>
      <c r="W23" s="76"/>
    </row>
    <row r="24" spans="1:23" ht="12.75" customHeight="1">
      <c r="A24" s="79" t="s">
        <v>5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75"/>
      <c r="V24" s="76"/>
      <c r="W24" s="76"/>
    </row>
    <row r="25" spans="1:23" ht="12.75" customHeight="1">
      <c r="A25" s="60"/>
      <c r="B25" s="77" t="s">
        <v>6</v>
      </c>
      <c r="C25" s="60"/>
      <c r="D25" s="12"/>
      <c r="E25" s="27">
        <f>-125-11.7+15.5+8.6+7.7</f>
        <v>-104.89999999999999</v>
      </c>
      <c r="F25" s="12"/>
      <c r="G25" s="27">
        <f>-145.3-0.3+15.5+8.6</f>
        <v>-121.50000000000003</v>
      </c>
      <c r="H25" s="12"/>
      <c r="I25" s="27">
        <f>-143.7-1.1-0.3+2.1+4.8+5+15.5</f>
        <v>-117.69999999999999</v>
      </c>
      <c r="J25" s="12"/>
      <c r="K25" s="27">
        <f>-125.1-2.5-1.4</f>
        <v>-129</v>
      </c>
      <c r="L25" s="12"/>
      <c r="M25" s="27">
        <f>-113.9-7</f>
        <v>-120.9</v>
      </c>
      <c r="N25" s="12"/>
      <c r="O25" s="27">
        <f>-101.7-2.5-1.7-1.1-1.3-0.5-2.4-5.4</f>
        <v>-116.60000000000001</v>
      </c>
      <c r="P25" s="12"/>
      <c r="Q25" s="27">
        <f>-125-3.5+3.5-2+1.1+0.8+0.2+0.1</f>
        <v>-124.80000000000001</v>
      </c>
      <c r="R25" s="16"/>
      <c r="S25" s="16">
        <v>-121.2</v>
      </c>
      <c r="T25" s="60"/>
      <c r="U25" s="16">
        <v>-121.2</v>
      </c>
      <c r="V25" s="76"/>
      <c r="W25" s="16">
        <v>-121.2</v>
      </c>
    </row>
    <row r="26" spans="1:23" ht="12.75" customHeight="1">
      <c r="A26" s="79"/>
      <c r="B26" s="60"/>
      <c r="C26" s="77" t="s">
        <v>7</v>
      </c>
      <c r="D26" s="12"/>
      <c r="E26" s="16">
        <v>-54.7</v>
      </c>
      <c r="F26" s="12"/>
      <c r="G26" s="16">
        <v>-49</v>
      </c>
      <c r="H26" s="12"/>
      <c r="I26" s="16">
        <v>-45.3</v>
      </c>
      <c r="J26" s="12"/>
      <c r="K26" s="16">
        <v>-44.1</v>
      </c>
      <c r="L26" s="12"/>
      <c r="M26" s="27">
        <f>-45.5-1.4-0.3</f>
        <v>-47.199999999999996</v>
      </c>
      <c r="N26" s="12"/>
      <c r="O26" s="16">
        <v>-43.3</v>
      </c>
      <c r="P26" s="12"/>
      <c r="Q26" s="27">
        <f>-42.5+0.3</f>
        <v>-42.2</v>
      </c>
      <c r="R26" s="16"/>
      <c r="S26" s="16">
        <v>-42.8</v>
      </c>
      <c r="T26" s="60"/>
      <c r="U26" s="16">
        <v>-42.8</v>
      </c>
      <c r="V26" s="76"/>
      <c r="W26" s="16">
        <v>-42.8</v>
      </c>
    </row>
    <row r="27" spans="1:23" ht="12.75" customHeight="1">
      <c r="A27" s="60"/>
      <c r="B27" s="78" t="s">
        <v>8</v>
      </c>
      <c r="C27" s="60"/>
      <c r="D27" s="12"/>
      <c r="E27" s="16">
        <v>-16.3</v>
      </c>
      <c r="F27" s="12"/>
      <c r="G27" s="16">
        <v>-15.4</v>
      </c>
      <c r="H27" s="12"/>
      <c r="I27" s="16">
        <v>-13.3</v>
      </c>
      <c r="J27" s="12"/>
      <c r="K27" s="16">
        <v>-16.399999999999999</v>
      </c>
      <c r="L27" s="12"/>
      <c r="M27" s="16">
        <v>-16.399999999999999</v>
      </c>
      <c r="N27" s="12"/>
      <c r="O27" s="16">
        <f>-15.9</f>
        <v>-15.9</v>
      </c>
      <c r="P27" s="12"/>
      <c r="Q27" s="16">
        <v>-13</v>
      </c>
      <c r="R27" s="16"/>
      <c r="S27" s="16">
        <v>-12.9</v>
      </c>
      <c r="T27" s="60"/>
      <c r="U27" s="16">
        <v>-13.3</v>
      </c>
      <c r="V27" s="76"/>
      <c r="W27" s="16">
        <v>-13.7</v>
      </c>
    </row>
    <row r="28" spans="1:23" ht="12.75" customHeight="1">
      <c r="A28" s="60"/>
      <c r="B28" s="78"/>
      <c r="C28" s="60" t="s">
        <v>95</v>
      </c>
      <c r="D28" s="12"/>
      <c r="E28" s="16">
        <f>-85.7</f>
        <v>-85.7</v>
      </c>
      <c r="F28" s="12"/>
      <c r="G28" s="27">
        <f>-85.7+0.6</f>
        <v>-85.100000000000009</v>
      </c>
      <c r="H28" s="12"/>
      <c r="I28" s="16">
        <v>-22.3</v>
      </c>
      <c r="J28" s="12"/>
      <c r="K28" s="16">
        <v>-6.5</v>
      </c>
      <c r="L28" s="12"/>
      <c r="M28" s="16">
        <v>0</v>
      </c>
      <c r="N28" s="12"/>
      <c r="O28" s="16">
        <v>0</v>
      </c>
      <c r="P28" s="12"/>
      <c r="Q28" s="16">
        <v>0</v>
      </c>
      <c r="R28" s="16"/>
      <c r="S28" s="16">
        <v>0</v>
      </c>
      <c r="T28" s="60"/>
      <c r="U28" s="16">
        <v>0</v>
      </c>
      <c r="V28" s="76"/>
      <c r="W28" s="16">
        <v>0</v>
      </c>
    </row>
    <row r="29" spans="1:23" ht="12.75" customHeight="1">
      <c r="A29" s="60"/>
      <c r="B29" s="77" t="s">
        <v>96</v>
      </c>
      <c r="C29" s="60"/>
      <c r="D29" s="12"/>
      <c r="E29" s="16">
        <v>-2.2000000000000002</v>
      </c>
      <c r="F29" s="12"/>
      <c r="G29" s="27">
        <f>-2.2+2</f>
        <v>-0.20000000000000018</v>
      </c>
      <c r="H29" s="12"/>
      <c r="I29" s="27">
        <f>0.5+0.7</f>
        <v>1.2</v>
      </c>
      <c r="J29" s="12"/>
      <c r="K29" s="16">
        <f>-0.6-0.2</f>
        <v>-0.8</v>
      </c>
      <c r="L29" s="12"/>
      <c r="M29" s="16">
        <v>-0.2</v>
      </c>
      <c r="N29" s="12"/>
      <c r="O29" s="16">
        <v>-0.1</v>
      </c>
      <c r="P29" s="12"/>
      <c r="Q29" s="16">
        <v>0</v>
      </c>
      <c r="R29" s="16"/>
      <c r="S29" s="16">
        <v>0</v>
      </c>
      <c r="T29" s="60"/>
      <c r="U29" s="16">
        <v>0</v>
      </c>
      <c r="V29" s="76"/>
      <c r="W29" s="16">
        <v>0</v>
      </c>
    </row>
    <row r="30" spans="1:23" ht="12.75" customHeight="1">
      <c r="A30" s="60"/>
      <c r="B30" s="78" t="s">
        <v>44</v>
      </c>
      <c r="D30" s="60"/>
      <c r="E30" s="16">
        <v>-1.4</v>
      </c>
      <c r="F30" s="60"/>
      <c r="G30" s="16">
        <v>-1.2</v>
      </c>
      <c r="H30" s="60"/>
      <c r="I30" s="16">
        <v>-1.7</v>
      </c>
      <c r="J30" s="60"/>
      <c r="K30" s="16">
        <v>-1.4</v>
      </c>
      <c r="L30" s="60"/>
      <c r="M30" s="16">
        <v>-1.4</v>
      </c>
      <c r="N30" s="60"/>
      <c r="O30" s="27">
        <f>-0.3-1.1</f>
        <v>-1.4000000000000001</v>
      </c>
      <c r="P30" s="12"/>
      <c r="Q30" s="16">
        <v>-0.6</v>
      </c>
      <c r="R30" s="16"/>
      <c r="S30" s="16">
        <v>-0.7</v>
      </c>
      <c r="T30" s="60"/>
      <c r="U30" s="16">
        <v>-0.5</v>
      </c>
      <c r="V30" s="76"/>
      <c r="W30" s="16">
        <v>-0.4</v>
      </c>
    </row>
    <row r="31" spans="1:23" ht="12.75" customHeight="1">
      <c r="A31" s="60"/>
      <c r="B31" s="78" t="s">
        <v>45</v>
      </c>
      <c r="D31" s="60"/>
      <c r="E31" s="16">
        <v>0</v>
      </c>
      <c r="F31" s="60"/>
      <c r="G31" s="16">
        <v>0</v>
      </c>
      <c r="H31" s="60"/>
      <c r="I31" s="16">
        <v>0</v>
      </c>
      <c r="J31" s="60"/>
      <c r="K31" s="16">
        <v>0</v>
      </c>
      <c r="L31" s="60"/>
      <c r="M31" s="16">
        <v>0</v>
      </c>
      <c r="N31" s="60"/>
      <c r="O31" s="16">
        <v>-0.2</v>
      </c>
      <c r="P31" s="12"/>
      <c r="Q31" s="16">
        <v>-1.9</v>
      </c>
      <c r="R31" s="16"/>
      <c r="S31" s="16">
        <v>-5.8</v>
      </c>
      <c r="T31" s="60"/>
      <c r="U31" s="16">
        <v>-5.9</v>
      </c>
      <c r="V31" s="76"/>
      <c r="W31" s="16">
        <v>-5.9</v>
      </c>
    </row>
    <row r="32" spans="1:23" ht="12.75" customHeight="1">
      <c r="A32" s="79"/>
      <c r="B32" s="78" t="s">
        <v>46</v>
      </c>
      <c r="D32" s="12"/>
      <c r="E32" s="16">
        <v>15.8</v>
      </c>
      <c r="F32" s="12"/>
      <c r="G32" s="16">
        <v>9.5</v>
      </c>
      <c r="H32" s="12"/>
      <c r="I32" s="16">
        <v>9.4</v>
      </c>
      <c r="J32" s="12"/>
      <c r="K32" s="16">
        <f>4.9+4.4</f>
        <v>9.3000000000000007</v>
      </c>
      <c r="L32" s="12"/>
      <c r="M32" s="16">
        <f>4.7+4.4</f>
        <v>9.1000000000000014</v>
      </c>
      <c r="N32" s="12"/>
      <c r="O32" s="16">
        <f>4.5+4.4</f>
        <v>8.9</v>
      </c>
      <c r="P32" s="12"/>
      <c r="Q32" s="27">
        <f>3.9+3.7-1.2</f>
        <v>6.3999999999999995</v>
      </c>
      <c r="R32" s="16"/>
      <c r="S32" s="16">
        <v>1.7</v>
      </c>
      <c r="T32" s="60"/>
      <c r="U32" s="16">
        <v>0.7</v>
      </c>
      <c r="V32" s="76"/>
      <c r="W32" s="16">
        <v>-4.2</v>
      </c>
    </row>
    <row r="33" spans="1:23" ht="12.75" customHeight="1">
      <c r="A33" s="79"/>
      <c r="B33" s="77" t="s">
        <v>47</v>
      </c>
      <c r="C33" s="60"/>
      <c r="D33" s="12"/>
      <c r="E33" s="16">
        <v>0</v>
      </c>
      <c r="F33" s="12"/>
      <c r="G33" s="16">
        <v>0</v>
      </c>
      <c r="H33" s="12"/>
      <c r="I33" s="16">
        <v>0</v>
      </c>
      <c r="J33" s="12"/>
      <c r="K33" s="16">
        <v>-1.5</v>
      </c>
      <c r="L33" s="12"/>
      <c r="M33" s="16">
        <v>-1.5</v>
      </c>
      <c r="N33" s="12"/>
      <c r="O33" s="16">
        <v>-1.5</v>
      </c>
      <c r="P33" s="12"/>
      <c r="Q33" s="16">
        <v>-1.5</v>
      </c>
      <c r="R33" s="16"/>
      <c r="S33" s="16">
        <v>-1.5</v>
      </c>
      <c r="T33" s="60"/>
      <c r="U33" s="16">
        <v>-1.5</v>
      </c>
      <c r="V33" s="76"/>
      <c r="W33" s="16">
        <v>0</v>
      </c>
    </row>
    <row r="34" spans="1:23" ht="12.75" customHeight="1">
      <c r="A34" s="79"/>
      <c r="B34" s="77"/>
      <c r="C34" s="77" t="s">
        <v>125</v>
      </c>
      <c r="D34" s="12"/>
      <c r="E34" s="16">
        <v>-11.9</v>
      </c>
      <c r="F34" s="12"/>
      <c r="G34" s="16">
        <v>-1.3</v>
      </c>
      <c r="H34" s="12"/>
      <c r="I34" s="16">
        <v>-0.2</v>
      </c>
      <c r="J34" s="12"/>
      <c r="K34" s="16">
        <v>0.1</v>
      </c>
      <c r="L34" s="12"/>
      <c r="M34" s="16">
        <v>0.6</v>
      </c>
      <c r="N34" s="12"/>
      <c r="O34" s="16">
        <f>-1.1+0.2</f>
        <v>-0.90000000000000013</v>
      </c>
      <c r="P34" s="12"/>
      <c r="Q34" s="16">
        <v>-0.7</v>
      </c>
      <c r="R34" s="16"/>
      <c r="S34" s="16">
        <v>-0.6</v>
      </c>
      <c r="T34" s="60"/>
      <c r="U34" s="16">
        <v>-0.6</v>
      </c>
      <c r="V34" s="76"/>
      <c r="W34" s="16">
        <v>-0.6</v>
      </c>
    </row>
    <row r="35" spans="1:23" ht="12.75" customHeight="1">
      <c r="A35" s="79"/>
      <c r="B35" s="60"/>
      <c r="C35" s="77" t="s">
        <v>48</v>
      </c>
      <c r="D35" s="12"/>
      <c r="E35" s="16">
        <v>0</v>
      </c>
      <c r="F35" s="12"/>
      <c r="G35" s="16">
        <v>0</v>
      </c>
      <c r="H35" s="12"/>
      <c r="I35" s="16">
        <v>0</v>
      </c>
      <c r="J35" s="12"/>
      <c r="K35" s="16">
        <v>0</v>
      </c>
      <c r="L35" s="12"/>
      <c r="M35" s="16">
        <v>0</v>
      </c>
      <c r="N35" s="12"/>
      <c r="O35" s="16">
        <v>0</v>
      </c>
      <c r="P35" s="12"/>
      <c r="Q35" s="16">
        <f>-1.4-0.1</f>
        <v>-1.5</v>
      </c>
      <c r="R35" s="16"/>
      <c r="S35" s="16">
        <v>-3</v>
      </c>
      <c r="T35" s="60"/>
      <c r="U35" s="16">
        <v>-3</v>
      </c>
      <c r="V35" s="76"/>
      <c r="W35" s="16">
        <v>-1.2</v>
      </c>
    </row>
    <row r="36" spans="1:23" ht="12.75" customHeight="1">
      <c r="A36" s="79"/>
      <c r="B36" s="77" t="s">
        <v>230</v>
      </c>
      <c r="C36" s="60"/>
      <c r="D36" s="26"/>
      <c r="E36" s="143">
        <f>(-39.4+36.9)+1.1+8.8</f>
        <v>7.4</v>
      </c>
      <c r="F36" s="26"/>
      <c r="G36" s="116">
        <f>-5.8+1.1+8.8</f>
        <v>4.1000000000000014</v>
      </c>
      <c r="H36" s="26"/>
      <c r="I36" s="116">
        <f>-1.8+1.1</f>
        <v>-0.7</v>
      </c>
      <c r="J36" s="26"/>
      <c r="K36" s="15">
        <f>-3.8</f>
        <v>-3.8</v>
      </c>
      <c r="L36" s="26"/>
      <c r="M36" s="15">
        <v>-2.8</v>
      </c>
      <c r="N36" s="26"/>
      <c r="O36" s="15">
        <v>0</v>
      </c>
      <c r="P36" s="15"/>
      <c r="Q36" s="15">
        <v>-0.5</v>
      </c>
      <c r="R36" s="96"/>
      <c r="S36" s="15">
        <v>0</v>
      </c>
      <c r="T36" s="60"/>
      <c r="U36" s="15">
        <v>0</v>
      </c>
      <c r="W36" s="16">
        <v>0</v>
      </c>
    </row>
    <row r="37" spans="1:23" ht="12.75" customHeight="1">
      <c r="A37" s="60"/>
      <c r="B37" s="60" t="s">
        <v>14</v>
      </c>
      <c r="C37" s="60"/>
      <c r="D37" s="12"/>
      <c r="E37" s="27">
        <f>-63.9+11.7+1.6</f>
        <v>-50.6</v>
      </c>
      <c r="F37" s="12"/>
      <c r="G37" s="27">
        <f>-55.7-1.4+11.7+1.6</f>
        <v>-43.800000000000004</v>
      </c>
      <c r="H37" s="12"/>
      <c r="I37" s="27">
        <f>-56.9+11.7</f>
        <v>-45.2</v>
      </c>
      <c r="J37" s="12"/>
      <c r="K37" s="16">
        <v>-45.3</v>
      </c>
      <c r="L37" s="12"/>
      <c r="M37" s="27">
        <f>-47.9+1.5</f>
        <v>-46.4</v>
      </c>
      <c r="N37" s="12"/>
      <c r="O37" s="16">
        <v>-48.9</v>
      </c>
      <c r="P37" s="12"/>
      <c r="Q37" s="27">
        <f>-45.6-0.8+0.4</f>
        <v>-46</v>
      </c>
      <c r="R37" s="16"/>
      <c r="S37" s="16">
        <v>-44.2</v>
      </c>
      <c r="T37" s="60"/>
      <c r="U37" s="16">
        <v>-45.6</v>
      </c>
      <c r="V37" s="76"/>
      <c r="W37" s="16">
        <v>-42.9</v>
      </c>
    </row>
    <row r="38" spans="1:23" ht="12.75" customHeight="1">
      <c r="A38" s="60"/>
      <c r="B38" s="60"/>
      <c r="C38" s="77" t="s">
        <v>49</v>
      </c>
      <c r="D38" s="12"/>
      <c r="E38" s="16">
        <v>0</v>
      </c>
      <c r="F38" s="12"/>
      <c r="G38" s="16">
        <v>0</v>
      </c>
      <c r="H38" s="12"/>
      <c r="I38" s="16">
        <v>0</v>
      </c>
      <c r="J38" s="12"/>
      <c r="K38" s="16">
        <v>0</v>
      </c>
      <c r="L38" s="12"/>
      <c r="M38" s="16">
        <v>0</v>
      </c>
      <c r="N38" s="12"/>
      <c r="O38" s="16">
        <v>0</v>
      </c>
      <c r="P38" s="12"/>
      <c r="Q38" s="16">
        <v>-1.2</v>
      </c>
      <c r="R38" s="16"/>
      <c r="S38" s="16">
        <v>-1.2</v>
      </c>
      <c r="T38" s="60"/>
      <c r="U38" s="16">
        <v>-1.2</v>
      </c>
      <c r="V38" s="76"/>
      <c r="W38" s="16">
        <v>-1.2</v>
      </c>
    </row>
    <row r="39" spans="1:23" ht="12.75" customHeight="1">
      <c r="A39" s="60"/>
      <c r="B39" s="77" t="s">
        <v>50</v>
      </c>
      <c r="C39" s="60"/>
      <c r="D39" s="60"/>
      <c r="E39" s="27">
        <f>-27.7+3.4+0.8</f>
        <v>-23.5</v>
      </c>
      <c r="F39" s="60"/>
      <c r="G39" s="27">
        <f>-24.6-3.1+3.4+0.8</f>
        <v>-23.500000000000004</v>
      </c>
      <c r="H39" s="60"/>
      <c r="I39" s="27">
        <f>-27+0.7-2+3.4</f>
        <v>-24.900000000000002</v>
      </c>
      <c r="J39" s="60"/>
      <c r="K39" s="27">
        <f>-26-1.6+0.6</f>
        <v>-27</v>
      </c>
      <c r="L39" s="60"/>
      <c r="M39" s="27">
        <f>-26-0.8-0.6</f>
        <v>-27.400000000000002</v>
      </c>
      <c r="N39" s="60"/>
      <c r="O39" s="27">
        <f>-25.9+(-0.4-1)</f>
        <v>-27.299999999999997</v>
      </c>
      <c r="P39" s="12"/>
      <c r="Q39" s="27">
        <f>-26.5-1.7+0.3</f>
        <v>-27.9</v>
      </c>
      <c r="R39" s="16"/>
      <c r="S39" s="27">
        <f>-27.5+0.2+0.4</f>
        <v>-26.900000000000002</v>
      </c>
      <c r="T39" s="60"/>
      <c r="U39" s="16">
        <v>-27.5</v>
      </c>
      <c r="V39" s="76"/>
      <c r="W39" s="16">
        <v>-27.5</v>
      </c>
    </row>
    <row r="40" spans="1:23" ht="12.75" customHeight="1">
      <c r="A40" s="60"/>
      <c r="B40" s="60"/>
      <c r="C40" s="77" t="s">
        <v>51</v>
      </c>
      <c r="D40" s="60"/>
      <c r="E40" s="30">
        <v>-6.1</v>
      </c>
      <c r="F40" s="60"/>
      <c r="G40" s="30">
        <v>-6.2</v>
      </c>
      <c r="H40" s="60"/>
      <c r="I40" s="101">
        <f>-6+0.7</f>
        <v>-5.3</v>
      </c>
      <c r="J40" s="60"/>
      <c r="K40" s="101">
        <f>(-5.9+0.6)+0.2</f>
        <v>-5.1000000000000005</v>
      </c>
      <c r="L40" s="60"/>
      <c r="M40" s="101">
        <f>-2.8-2</f>
        <v>-4.8</v>
      </c>
      <c r="N40" s="60"/>
      <c r="O40" s="30">
        <v>-4.5999999999999996</v>
      </c>
      <c r="P40" s="12"/>
      <c r="Q40" s="30">
        <v>-5.3</v>
      </c>
      <c r="R40" s="16"/>
      <c r="S40" s="30">
        <v>-6.5</v>
      </c>
      <c r="T40" s="60"/>
      <c r="U40" s="30">
        <v>-6.8</v>
      </c>
      <c r="V40" s="76"/>
      <c r="W40" s="30">
        <v>-7</v>
      </c>
    </row>
    <row r="41" spans="1:23" ht="3.9" customHeight="1">
      <c r="A41" s="73"/>
      <c r="B41" s="60"/>
      <c r="C41" s="60"/>
      <c r="D41" s="12"/>
      <c r="E41" s="16"/>
      <c r="F41" s="12"/>
      <c r="G41" s="16"/>
      <c r="H41" s="12"/>
      <c r="I41" s="16"/>
      <c r="J41" s="12"/>
      <c r="K41" s="16"/>
      <c r="L41" s="12"/>
      <c r="M41" s="16"/>
      <c r="N41" s="12"/>
      <c r="O41" s="16"/>
      <c r="P41" s="12"/>
      <c r="Q41" s="12"/>
      <c r="R41" s="12"/>
      <c r="S41" s="12"/>
      <c r="T41" s="60"/>
      <c r="U41" s="12"/>
      <c r="V41" s="76"/>
      <c r="W41" s="12"/>
    </row>
    <row r="42" spans="1:23" ht="12.75" customHeight="1">
      <c r="A42" s="73"/>
      <c r="B42" s="60"/>
      <c r="C42" s="77" t="s">
        <v>18</v>
      </c>
      <c r="D42" s="12"/>
      <c r="E42" s="12">
        <f>SUM(E25:E40)</f>
        <v>-334.09999999999997</v>
      </c>
      <c r="F42" s="12"/>
      <c r="G42" s="12">
        <f>SUM(G25:G40)</f>
        <v>-333.6</v>
      </c>
      <c r="H42" s="12"/>
      <c r="I42" s="12">
        <f>SUM(I25:I40)</f>
        <v>-266</v>
      </c>
      <c r="J42" s="12"/>
      <c r="K42" s="12">
        <f>SUM(K25:K40)</f>
        <v>-271.50000000000006</v>
      </c>
      <c r="L42" s="12"/>
      <c r="M42" s="12">
        <f>SUM(M25:M40)</f>
        <v>-259.3</v>
      </c>
      <c r="N42" s="12"/>
      <c r="O42" s="12">
        <f>SUM(O25:O40)</f>
        <v>-251.79999999999998</v>
      </c>
      <c r="P42" s="60"/>
      <c r="Q42" s="12">
        <f>SUM(Q25:Q40)</f>
        <v>-260.7</v>
      </c>
      <c r="R42" s="60"/>
      <c r="S42" s="12">
        <f>SUM(S25:S40)</f>
        <v>-265.59999999999997</v>
      </c>
      <c r="T42" s="75"/>
      <c r="U42" s="12">
        <f>SUM(U25:U40)</f>
        <v>-269.2</v>
      </c>
      <c r="V42" s="76"/>
      <c r="W42" s="12">
        <f>SUM(W25:W40)</f>
        <v>-268.59999999999997</v>
      </c>
    </row>
    <row r="43" spans="1:23" ht="6" customHeight="1">
      <c r="A43" s="79"/>
      <c r="B43" s="60"/>
      <c r="C43" s="60"/>
      <c r="D43" s="12"/>
      <c r="E43" s="12"/>
      <c r="F43" s="12"/>
      <c r="G43" s="12"/>
      <c r="H43" s="12"/>
      <c r="I43" s="12"/>
      <c r="J43" s="12"/>
      <c r="K43" s="16"/>
      <c r="L43" s="12"/>
      <c r="M43" s="16"/>
      <c r="N43" s="12"/>
      <c r="O43" s="16"/>
      <c r="P43" s="12"/>
      <c r="Q43" s="12"/>
      <c r="R43" s="12"/>
      <c r="S43" s="12"/>
      <c r="T43" s="60"/>
      <c r="U43" s="12"/>
      <c r="V43" s="76"/>
      <c r="W43" s="12"/>
    </row>
    <row r="44" spans="1:23" ht="12.75" customHeight="1">
      <c r="A44" s="73" t="s">
        <v>19</v>
      </c>
      <c r="B44" s="60"/>
      <c r="C44" s="60"/>
      <c r="D44" s="12"/>
      <c r="E44" s="12"/>
      <c r="F44" s="12"/>
      <c r="G44" s="12"/>
      <c r="H44" s="12"/>
      <c r="I44" s="12"/>
      <c r="J44" s="12"/>
      <c r="K44" s="16"/>
      <c r="L44" s="12"/>
      <c r="M44" s="16"/>
      <c r="N44" s="12"/>
      <c r="O44" s="16"/>
      <c r="P44" s="12"/>
      <c r="Q44" s="12"/>
      <c r="R44" s="12"/>
      <c r="S44" s="12"/>
      <c r="T44" s="60"/>
      <c r="U44" s="12"/>
      <c r="V44" s="76"/>
      <c r="W44" s="12"/>
    </row>
    <row r="45" spans="1:23" ht="12.75" customHeight="1">
      <c r="A45" s="79"/>
      <c r="B45" s="60" t="s">
        <v>52</v>
      </c>
      <c r="C45" s="60"/>
      <c r="D45" s="12"/>
      <c r="E45" s="16">
        <v>3.5</v>
      </c>
      <c r="F45" s="12"/>
      <c r="G45" s="16">
        <v>4.5999999999999996</v>
      </c>
      <c r="H45" s="12"/>
      <c r="I45" s="27">
        <f>9.2-5.7</f>
        <v>3.4999999999999991</v>
      </c>
      <c r="J45" s="12"/>
      <c r="K45" s="16">
        <v>4.5</v>
      </c>
      <c r="L45" s="12"/>
      <c r="M45" s="16">
        <v>5.9</v>
      </c>
      <c r="N45" s="12"/>
      <c r="O45" s="16">
        <v>4.8</v>
      </c>
      <c r="P45" s="12"/>
      <c r="Q45" s="27">
        <f>1.6+0.3</f>
        <v>1.9000000000000001</v>
      </c>
      <c r="R45" s="16"/>
      <c r="S45" s="16">
        <v>4.8</v>
      </c>
      <c r="T45" s="60"/>
      <c r="U45" s="16">
        <v>5.2</v>
      </c>
      <c r="V45" s="76"/>
      <c r="W45" s="16">
        <v>5.6</v>
      </c>
    </row>
    <row r="46" spans="1:23" ht="12.75" customHeight="1">
      <c r="A46" s="79"/>
      <c r="B46" s="77" t="s">
        <v>53</v>
      </c>
      <c r="C46" s="60"/>
      <c r="D46" s="12"/>
      <c r="E46" s="16">
        <v>0.1</v>
      </c>
      <c r="F46" s="12"/>
      <c r="G46" s="16">
        <v>0.3</v>
      </c>
      <c r="H46" s="12"/>
      <c r="I46" s="27">
        <f>1.2-0.9</f>
        <v>0.29999999999999993</v>
      </c>
      <c r="J46" s="12"/>
      <c r="K46" s="16">
        <v>0.3</v>
      </c>
      <c r="L46" s="12"/>
      <c r="M46" s="16">
        <v>0.1</v>
      </c>
      <c r="N46" s="12"/>
      <c r="O46" s="16">
        <v>0.4</v>
      </c>
      <c r="P46" s="12"/>
      <c r="Q46" s="16">
        <v>0.3</v>
      </c>
      <c r="R46" s="16"/>
      <c r="S46" s="16">
        <v>0.3</v>
      </c>
      <c r="T46" s="60"/>
      <c r="U46" s="16">
        <v>0.4</v>
      </c>
      <c r="V46" s="76"/>
      <c r="W46" s="16">
        <v>0.4</v>
      </c>
    </row>
    <row r="47" spans="1:23" ht="12.75" customHeight="1">
      <c r="A47" s="79"/>
      <c r="B47" s="77" t="s">
        <v>93</v>
      </c>
      <c r="C47" s="60"/>
      <c r="D47" s="12"/>
      <c r="E47" s="16">
        <v>2.9</v>
      </c>
      <c r="F47" s="12"/>
      <c r="G47" s="16">
        <v>6.9</v>
      </c>
      <c r="H47" s="12"/>
      <c r="I47" s="16">
        <v>4.9000000000000004</v>
      </c>
      <c r="J47" s="12"/>
      <c r="K47" s="16">
        <v>3.4</v>
      </c>
      <c r="L47" s="12"/>
      <c r="M47" s="16">
        <v>2.1</v>
      </c>
      <c r="N47" s="12"/>
      <c r="O47" s="27">
        <f>1.9-1.2</f>
        <v>0.7</v>
      </c>
      <c r="P47" s="12"/>
      <c r="Q47" s="16">
        <v>0.2</v>
      </c>
      <c r="R47" s="16"/>
      <c r="S47" s="16">
        <v>0.3</v>
      </c>
      <c r="T47" s="60"/>
      <c r="U47" s="16">
        <v>0.3</v>
      </c>
      <c r="V47" s="76"/>
      <c r="W47" s="16">
        <v>0.3</v>
      </c>
    </row>
    <row r="48" spans="1:23" ht="12.75" customHeight="1">
      <c r="A48" s="79"/>
      <c r="B48" s="77" t="s">
        <v>19</v>
      </c>
      <c r="C48" s="60"/>
      <c r="D48" s="12"/>
      <c r="E48" s="101">
        <f>(0.9)-(9.7-13.5)</f>
        <v>4.7000000000000011</v>
      </c>
      <c r="F48" s="12"/>
      <c r="G48" s="101">
        <f>(1.2)-(11.2-1.4-11.9-0.6)</f>
        <v>3.9000000000000012</v>
      </c>
      <c r="H48" s="12"/>
      <c r="I48" s="101">
        <f>(5.2+3.5-1.8-2.3-4.1-0.4)-(-28.4+21+8.4+2)</f>
        <v>-2.9000000000000017</v>
      </c>
      <c r="J48" s="12"/>
      <c r="K48" s="101">
        <f>(2.1-0.8)-(-27.8+10+18)</f>
        <v>1.1000000000000008</v>
      </c>
      <c r="L48" s="12"/>
      <c r="M48" s="101">
        <f>+(2.7-0.6)-(-2+3)</f>
        <v>1.1000000000000001</v>
      </c>
      <c r="N48" s="12"/>
      <c r="O48" s="101">
        <f>+(33-2.4-2.8-20.5-2-2.5)-((12.2-10-(2.2-2)-0.2-0.3))</f>
        <v>1.3000000000000016</v>
      </c>
      <c r="P48" s="12"/>
      <c r="Q48" s="101">
        <f>+(10.8-9-0.8)-(-5.5+9-2.9+0.6-0.3-0.6)</f>
        <v>0.70000000000000051</v>
      </c>
      <c r="R48" s="16"/>
      <c r="S48" s="30">
        <v>-0.4</v>
      </c>
      <c r="T48" s="60"/>
      <c r="U48" s="30">
        <v>-0.4</v>
      </c>
      <c r="V48" s="76"/>
      <c r="W48" s="30">
        <v>-0.5</v>
      </c>
    </row>
    <row r="49" spans="1:23" ht="3.9" customHeight="1">
      <c r="A49" s="79"/>
      <c r="B49" s="77"/>
      <c r="C49" s="60"/>
      <c r="D49" s="12"/>
      <c r="E49" s="15"/>
      <c r="F49" s="12"/>
      <c r="G49" s="15"/>
      <c r="H49" s="12"/>
      <c r="I49" s="15"/>
      <c r="J49" s="12"/>
      <c r="K49" s="15"/>
      <c r="L49" s="12"/>
      <c r="M49" s="15"/>
      <c r="N49" s="12"/>
      <c r="O49" s="15"/>
      <c r="P49" s="12"/>
      <c r="Q49" s="31"/>
      <c r="R49" s="12"/>
      <c r="S49" s="26"/>
      <c r="T49" s="60"/>
      <c r="U49" s="26"/>
      <c r="V49" s="76"/>
      <c r="W49" s="26"/>
    </row>
    <row r="50" spans="1:23" ht="12.75" customHeight="1">
      <c r="A50" s="60"/>
      <c r="B50" s="60"/>
      <c r="C50" s="77" t="s">
        <v>20</v>
      </c>
      <c r="D50" s="12"/>
      <c r="E50" s="12">
        <f>SUM(E45:E48)</f>
        <v>11.200000000000001</v>
      </c>
      <c r="F50" s="12"/>
      <c r="G50" s="12">
        <f>SUM(G45:G48)</f>
        <v>15.700000000000003</v>
      </c>
      <c r="H50" s="12"/>
      <c r="I50" s="12">
        <f>SUM(I45:I48)</f>
        <v>5.7999999999999972</v>
      </c>
      <c r="J50" s="12"/>
      <c r="K50" s="12">
        <f>SUM(K45:K48)</f>
        <v>9.3000000000000007</v>
      </c>
      <c r="L50" s="12"/>
      <c r="M50" s="12">
        <f>SUM(M45:M48)</f>
        <v>9.1999999999999993</v>
      </c>
      <c r="N50" s="12"/>
      <c r="O50" s="12">
        <f>SUM(O45:O48)</f>
        <v>7.200000000000002</v>
      </c>
      <c r="P50" s="12"/>
      <c r="Q50" s="12">
        <f>SUM(Q45:Q48)</f>
        <v>3.100000000000001</v>
      </c>
      <c r="R50" s="12"/>
      <c r="S50" s="12">
        <f>SUM(S45:S48)</f>
        <v>4.9999999999999991</v>
      </c>
      <c r="T50" s="60"/>
      <c r="U50" s="12">
        <f>SUM(U45:U48)</f>
        <v>5.5</v>
      </c>
      <c r="V50" s="76"/>
      <c r="W50" s="12">
        <f>SUM(W45:W48)</f>
        <v>5.8</v>
      </c>
    </row>
    <row r="51" spans="1:23" ht="7.5" customHeight="1">
      <c r="A51" s="79"/>
      <c r="B51" s="60"/>
      <c r="C51" s="6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60"/>
      <c r="U51" s="12"/>
      <c r="V51" s="76"/>
      <c r="W51" s="12"/>
    </row>
    <row r="52" spans="1:23" ht="12.75" customHeight="1">
      <c r="A52" s="73" t="s">
        <v>21</v>
      </c>
      <c r="B52" s="60"/>
      <c r="C52" s="60"/>
      <c r="D52" s="12"/>
      <c r="E52" s="20">
        <f>+E22+E42+E50</f>
        <v>164.79999999999995</v>
      </c>
      <c r="F52" s="12"/>
      <c r="G52" s="20">
        <f>+G22+G42+G50</f>
        <v>173.49999999999989</v>
      </c>
      <c r="H52" s="12"/>
      <c r="I52" s="20">
        <f>+I22+I42+I50</f>
        <v>189.5</v>
      </c>
      <c r="J52" s="12"/>
      <c r="K52" s="20">
        <f>+K22+K42+K50</f>
        <v>182.59999999999997</v>
      </c>
      <c r="L52" s="12"/>
      <c r="M52" s="20">
        <f>+M22+M42+M50</f>
        <v>189.09999999999997</v>
      </c>
      <c r="N52" s="12"/>
      <c r="O52" s="20">
        <f>+O22+O42+O50</f>
        <v>188.10000000000005</v>
      </c>
      <c r="P52" s="12"/>
      <c r="Q52" s="20">
        <f>+Q22+Q42+Q50</f>
        <v>172.80000000000004</v>
      </c>
      <c r="R52" s="12"/>
      <c r="S52" s="20">
        <f>+S22+S42+S50</f>
        <v>176.10000000000008</v>
      </c>
      <c r="T52" s="75"/>
      <c r="U52" s="20">
        <f>+U22+U42+U50</f>
        <v>182.30000000000007</v>
      </c>
      <c r="V52" s="76"/>
      <c r="W52" s="20">
        <f>+W22+W42+W50</f>
        <v>194.00000000000006</v>
      </c>
    </row>
    <row r="53" spans="1:23" ht="7.5" customHeight="1">
      <c r="A53" s="79"/>
      <c r="B53" s="60"/>
      <c r="C53" s="6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60"/>
      <c r="U53" s="12"/>
      <c r="V53" s="76"/>
      <c r="W53" s="12"/>
    </row>
    <row r="54" spans="1:23" ht="12.75" customHeight="1">
      <c r="A54" s="73" t="s">
        <v>82</v>
      </c>
      <c r="B54" s="60"/>
      <c r="C54" s="6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60"/>
      <c r="U54" s="12"/>
      <c r="V54" s="76"/>
      <c r="W54" s="12"/>
    </row>
    <row r="55" spans="1:23" ht="12.75" customHeight="1">
      <c r="A55" s="73"/>
      <c r="B55" s="77" t="s">
        <v>237</v>
      </c>
      <c r="C55" s="60"/>
      <c r="D55" s="12"/>
      <c r="E55" s="12">
        <f>+'NNG-Disc.,Assets,Reserves'!E15</f>
        <v>30.20000000000001</v>
      </c>
      <c r="F55" s="12"/>
      <c r="G55" s="12">
        <f>+'NNG-Disc.,Assets,Reserves'!G15</f>
        <v>15.600000000000001</v>
      </c>
      <c r="H55" s="12"/>
      <c r="I55" s="12">
        <f>+'NNG-Disc.,Assets,Reserves'!I15</f>
        <v>13.200000000000001</v>
      </c>
      <c r="J55" s="12"/>
      <c r="K55" s="12">
        <f>+'NNG-Disc.,Assets,Reserves'!K15</f>
        <v>5.0999999999999996</v>
      </c>
      <c r="L55" s="12"/>
      <c r="M55" s="12">
        <f>+'NNG-Disc.,Assets,Reserves'!M15</f>
        <v>3.4</v>
      </c>
      <c r="N55" s="12"/>
      <c r="O55" s="12">
        <f>+'NNG-Disc.,Assets,Reserves'!O15</f>
        <v>-0.1</v>
      </c>
      <c r="P55" s="12"/>
      <c r="Q55" s="12">
        <f>+'NNG-Disc.,Assets,Reserves'!Q15</f>
        <v>0</v>
      </c>
      <c r="R55" s="12"/>
      <c r="S55" s="12">
        <f>+'NNG-Disc.,Assets,Reserves'!S15</f>
        <v>0</v>
      </c>
      <c r="T55" s="60"/>
      <c r="U55" s="12">
        <f>+'NNG-Disc.,Assets,Reserves'!U15</f>
        <v>0</v>
      </c>
      <c r="V55" s="12"/>
      <c r="W55" s="12">
        <f>+'NNG-Disc.,Assets,Reserves'!W15</f>
        <v>0</v>
      </c>
    </row>
    <row r="56" spans="1:23" ht="12.75" customHeight="1">
      <c r="A56" s="79"/>
      <c r="B56" s="77" t="s">
        <v>178</v>
      </c>
      <c r="C56" s="60"/>
      <c r="D56" s="12"/>
      <c r="E56" s="12">
        <f>+'NNG-Disc.,Assets,Reserves'!E35</f>
        <v>0</v>
      </c>
      <c r="F56" s="12"/>
      <c r="G56" s="12">
        <f>+'NNG-Disc.,Assets,Reserves'!G35</f>
        <v>0</v>
      </c>
      <c r="H56" s="12"/>
      <c r="I56" s="12">
        <f>+'NNG-Disc.,Assets,Reserves'!I35</f>
        <v>6.8</v>
      </c>
      <c r="J56" s="12"/>
      <c r="K56" s="12">
        <f>+'NNG-Disc.,Assets,Reserves'!K35</f>
        <v>0.8</v>
      </c>
      <c r="L56" s="12"/>
      <c r="M56" s="12">
        <f>+'NNG-Disc.,Assets,Reserves'!M35</f>
        <v>0.6</v>
      </c>
      <c r="N56" s="12"/>
      <c r="O56" s="12">
        <f>+'NNG-Disc.,Assets,Reserves'!O35</f>
        <v>25.7</v>
      </c>
      <c r="P56" s="12"/>
      <c r="Q56" s="12">
        <f>+'NNG-Disc.,Assets,Reserves'!Q35</f>
        <v>23.400000000000002</v>
      </c>
      <c r="R56" s="16"/>
      <c r="S56" s="12">
        <f>+'NNG-Disc.,Assets,Reserves'!S35</f>
        <v>24.6</v>
      </c>
      <c r="T56" s="60"/>
      <c r="U56" s="12">
        <f>+'NNG-Disc.,Assets,Reserves'!U35</f>
        <v>24.2</v>
      </c>
      <c r="V56" s="76"/>
      <c r="W56" s="12">
        <f>+'NNG-Disc.,Assets,Reserves'!W35</f>
        <v>19.2</v>
      </c>
    </row>
    <row r="57" spans="1:23" ht="12.75" customHeight="1">
      <c r="A57" s="79"/>
      <c r="B57" s="77" t="s">
        <v>179</v>
      </c>
      <c r="C57" s="60"/>
      <c r="D57" s="12"/>
      <c r="E57" s="12">
        <f>+'NNG-Disc.,Assets,Reserves'!E53</f>
        <v>-13.5</v>
      </c>
      <c r="F57" s="12"/>
      <c r="G57" s="12">
        <f>+'NNG-Disc.,Assets,Reserves'!G53</f>
        <v>9.9</v>
      </c>
      <c r="H57" s="12"/>
      <c r="I57" s="12">
        <f>+'NNG-Disc.,Assets,Reserves'!I53</f>
        <v>-33.799999999999997</v>
      </c>
      <c r="J57" s="12"/>
      <c r="K57" s="12">
        <f>+'NNG-Disc.,Assets,Reserves'!K53</f>
        <v>26.7</v>
      </c>
      <c r="L57" s="12"/>
      <c r="M57" s="12">
        <f>+'NNG-Disc.,Assets,Reserves'!M53</f>
        <v>8.5</v>
      </c>
      <c r="N57" s="12"/>
      <c r="O57" s="12">
        <f>+'NNG-Disc.,Assets,Reserves'!O53</f>
        <v>-12.399999999999999</v>
      </c>
      <c r="P57" s="12"/>
      <c r="Q57" s="12">
        <f>+'NNG-Disc.,Assets,Reserves'!Q53</f>
        <v>14.3</v>
      </c>
      <c r="R57" s="16"/>
      <c r="S57" s="12">
        <f>+'NNG-Disc.,Assets,Reserves'!S53</f>
        <v>7.3000000000000007</v>
      </c>
      <c r="T57" s="60"/>
      <c r="U57" s="12">
        <f>+'NNG-Disc.,Assets,Reserves'!U53</f>
        <v>0</v>
      </c>
      <c r="V57" s="76"/>
      <c r="W57" s="12">
        <f>+'NNG-Disc.,Assets,Reserves'!W53</f>
        <v>0</v>
      </c>
    </row>
    <row r="58" spans="1:23" ht="12.75" customHeight="1">
      <c r="A58" s="79"/>
      <c r="B58" s="77" t="s">
        <v>180</v>
      </c>
      <c r="C58" s="60"/>
      <c r="D58" s="12"/>
      <c r="E58" s="13">
        <f>+'NNG-Other'!E70</f>
        <v>34</v>
      </c>
      <c r="F58" s="12"/>
      <c r="G58" s="13">
        <f>+'NNG-Other'!G70</f>
        <v>5.8000000000000007</v>
      </c>
      <c r="H58" s="12"/>
      <c r="I58" s="13">
        <f>+'NNG-Other'!I70</f>
        <v>10.400000000000002</v>
      </c>
      <c r="J58" s="12"/>
      <c r="K58" s="13">
        <f>+'NNG-Other'!K70</f>
        <v>3.1999999999999997</v>
      </c>
      <c r="L58" s="12"/>
      <c r="M58" s="13">
        <f>+'NNG-Other'!M70</f>
        <v>13.5</v>
      </c>
      <c r="N58" s="12"/>
      <c r="O58" s="13">
        <f>+'NNG-Other'!O70</f>
        <v>27.8</v>
      </c>
      <c r="P58" s="12"/>
      <c r="Q58" s="13">
        <f>+'NNG-Other'!Q70</f>
        <v>19.099999999999998</v>
      </c>
      <c r="R58" s="16"/>
      <c r="S58" s="13">
        <f>+'NNG-Other'!S70</f>
        <v>7</v>
      </c>
      <c r="T58" s="60"/>
      <c r="U58" s="13">
        <f>+'NNG-Other'!U70</f>
        <v>9.5</v>
      </c>
      <c r="V58" s="76"/>
      <c r="W58" s="13">
        <f>+'NNG-Other'!W70</f>
        <v>9.5</v>
      </c>
    </row>
    <row r="59" spans="1:23" ht="3.9" customHeight="1">
      <c r="A59" s="79"/>
      <c r="B59" s="60"/>
      <c r="C59" s="60"/>
      <c r="D59" s="12"/>
      <c r="E59" s="15"/>
      <c r="F59" s="12"/>
      <c r="G59" s="15"/>
      <c r="H59" s="12"/>
      <c r="I59" s="15"/>
      <c r="J59" s="12"/>
      <c r="K59" s="15"/>
      <c r="L59" s="12"/>
      <c r="M59" s="15"/>
      <c r="N59" s="12"/>
      <c r="O59" s="15"/>
      <c r="P59" s="12"/>
      <c r="Q59" s="26"/>
      <c r="R59" s="12"/>
      <c r="S59" s="26"/>
      <c r="T59" s="60"/>
      <c r="U59" s="26"/>
      <c r="V59" s="76"/>
      <c r="W59" s="26"/>
    </row>
    <row r="60" spans="1:23" ht="12.75" customHeight="1">
      <c r="A60" s="79"/>
      <c r="B60" s="60"/>
      <c r="C60" s="73" t="s">
        <v>22</v>
      </c>
      <c r="D60" s="12"/>
      <c r="E60" s="20">
        <f>SUM(E55:E58)</f>
        <v>50.70000000000001</v>
      </c>
      <c r="F60" s="12"/>
      <c r="G60" s="20">
        <f>SUM(G55:G58)</f>
        <v>31.3</v>
      </c>
      <c r="H60" s="12"/>
      <c r="I60" s="20">
        <f>SUM(I55:I58)</f>
        <v>-3.399999999999995</v>
      </c>
      <c r="J60" s="12"/>
      <c r="K60" s="20">
        <f>SUM(K55:K58)</f>
        <v>35.800000000000004</v>
      </c>
      <c r="L60" s="12"/>
      <c r="M60" s="20">
        <f>SUM(M55:M58)</f>
        <v>26</v>
      </c>
      <c r="N60" s="12"/>
      <c r="O60" s="20">
        <f>SUM(O55:O58)</f>
        <v>41</v>
      </c>
      <c r="P60" s="12"/>
      <c r="Q60" s="20">
        <f>SUM(Q55:Q58)</f>
        <v>56.8</v>
      </c>
      <c r="R60" s="12"/>
      <c r="S60" s="20">
        <f>SUM(S55:S58)</f>
        <v>38.900000000000006</v>
      </c>
      <c r="T60" s="60"/>
      <c r="U60" s="20">
        <f>SUM(U55:U58)</f>
        <v>33.700000000000003</v>
      </c>
      <c r="V60" s="76"/>
      <c r="W60" s="20">
        <f>SUM(W55:W58)</f>
        <v>28.7</v>
      </c>
    </row>
    <row r="61" spans="1:23" ht="7.5" customHeight="1">
      <c r="A61" s="79"/>
      <c r="B61" s="60"/>
      <c r="C61" s="6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60"/>
      <c r="U61" s="12"/>
      <c r="V61" s="76"/>
      <c r="W61" s="12"/>
    </row>
    <row r="62" spans="1:23" ht="12.75" customHeight="1" thickBot="1">
      <c r="A62" s="79" t="s">
        <v>23</v>
      </c>
      <c r="B62" s="60"/>
      <c r="C62" s="60"/>
      <c r="D62" s="12"/>
      <c r="E62" s="33">
        <f>+E52+E60</f>
        <v>215.49999999999997</v>
      </c>
      <c r="F62" s="12"/>
      <c r="G62" s="33">
        <f>+G52+G60</f>
        <v>204.7999999999999</v>
      </c>
      <c r="H62" s="12"/>
      <c r="I62" s="33">
        <f>+I52+I60</f>
        <v>186.1</v>
      </c>
      <c r="J62" s="12"/>
      <c r="K62" s="33">
        <f>+K52+K60</f>
        <v>218.39999999999998</v>
      </c>
      <c r="L62" s="12"/>
      <c r="M62" s="33">
        <f>+M52+M60</f>
        <v>215.09999999999997</v>
      </c>
      <c r="N62" s="12"/>
      <c r="O62" s="33">
        <f>+O52+O60</f>
        <v>229.10000000000005</v>
      </c>
      <c r="P62" s="12"/>
      <c r="Q62" s="33">
        <f>+Q52+Q60</f>
        <v>229.60000000000002</v>
      </c>
      <c r="R62" s="12"/>
      <c r="S62" s="33">
        <f>+S52+S60</f>
        <v>215.00000000000009</v>
      </c>
      <c r="T62" s="75"/>
      <c r="U62" s="33">
        <f>+U52+U60</f>
        <v>216.00000000000006</v>
      </c>
      <c r="V62" s="76"/>
      <c r="W62" s="33">
        <f>+W52+W60</f>
        <v>222.70000000000005</v>
      </c>
    </row>
    <row r="63" spans="1:23" ht="6.75" customHeight="1" thickTop="1">
      <c r="A63" s="79"/>
      <c r="B63" s="60"/>
      <c r="C63" s="6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60"/>
      <c r="U63" s="12"/>
      <c r="V63" s="76"/>
      <c r="W63" s="12"/>
    </row>
    <row r="64" spans="1:23" ht="12.75" customHeight="1">
      <c r="A64" s="80" t="s">
        <v>24</v>
      </c>
      <c r="B64" s="60"/>
      <c r="C64" s="6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60"/>
      <c r="U64" s="12"/>
      <c r="V64" s="76"/>
      <c r="W64" s="12"/>
    </row>
    <row r="65" spans="1:23" ht="12.75" customHeight="1">
      <c r="A65" s="60"/>
      <c r="B65" s="77" t="s">
        <v>24</v>
      </c>
      <c r="C65" s="60"/>
      <c r="D65" s="12"/>
      <c r="E65" s="27">
        <f>-6.8+1.1</f>
        <v>-5.6999999999999993</v>
      </c>
      <c r="F65" s="12"/>
      <c r="G65" s="16">
        <v>-3.4</v>
      </c>
      <c r="H65" s="12"/>
      <c r="I65" s="16">
        <v>-2.2999999999999998</v>
      </c>
      <c r="J65" s="12"/>
      <c r="K65" s="16">
        <v>-3</v>
      </c>
      <c r="L65" s="12"/>
      <c r="M65" s="16">
        <v>-2.8</v>
      </c>
      <c r="N65" s="12"/>
      <c r="O65" s="16">
        <v>-3.5</v>
      </c>
      <c r="P65" s="12"/>
      <c r="Q65" s="16">
        <v>-4</v>
      </c>
      <c r="R65" s="16"/>
      <c r="S65" s="16">
        <v>-1.6</v>
      </c>
      <c r="T65" s="60"/>
      <c r="U65" s="16">
        <v>-0.8</v>
      </c>
      <c r="V65" s="76"/>
      <c r="W65" s="16">
        <v>-0.2</v>
      </c>
    </row>
    <row r="66" spans="1:23" ht="12.75" customHeight="1">
      <c r="A66" s="60"/>
      <c r="B66" s="77" t="s">
        <v>54</v>
      </c>
      <c r="C66" s="60"/>
      <c r="D66" s="12"/>
      <c r="E66" s="16">
        <v>0</v>
      </c>
      <c r="F66" s="12"/>
      <c r="G66" s="16">
        <v>0</v>
      </c>
      <c r="H66" s="12"/>
      <c r="I66" s="16">
        <v>0</v>
      </c>
      <c r="J66" s="12"/>
      <c r="K66" s="16">
        <v>0</v>
      </c>
      <c r="L66" s="12"/>
      <c r="M66" s="16">
        <v>0</v>
      </c>
      <c r="N66" s="12"/>
      <c r="O66" s="16">
        <v>-3.3</v>
      </c>
      <c r="P66" s="12"/>
      <c r="Q66" s="16">
        <v>-10.3</v>
      </c>
      <c r="R66" s="16"/>
      <c r="S66" s="16">
        <v>-10.3</v>
      </c>
      <c r="T66" s="60"/>
      <c r="U66" s="16">
        <v>-10.3</v>
      </c>
      <c r="V66" s="76"/>
      <c r="W66" s="16">
        <v>-10.3</v>
      </c>
    </row>
    <row r="67" spans="1:23" ht="12.75" customHeight="1">
      <c r="A67" s="60"/>
      <c r="B67" s="77" t="s">
        <v>25</v>
      </c>
      <c r="C67" s="60"/>
      <c r="D67" s="12"/>
      <c r="E67" s="16">
        <v>0</v>
      </c>
      <c r="F67" s="12"/>
      <c r="G67" s="16">
        <v>0</v>
      </c>
      <c r="H67" s="12"/>
      <c r="I67" s="16">
        <v>0</v>
      </c>
      <c r="J67" s="12"/>
      <c r="K67" s="16">
        <v>0</v>
      </c>
      <c r="L67" s="12"/>
      <c r="M67" s="16">
        <v>0</v>
      </c>
      <c r="N67" s="12"/>
      <c r="O67" s="16">
        <v>6.1</v>
      </c>
      <c r="P67" s="12"/>
      <c r="Q67" s="16">
        <v>16.2</v>
      </c>
      <c r="R67" s="16"/>
      <c r="S67" s="16">
        <v>9.8000000000000007</v>
      </c>
      <c r="T67" s="60"/>
      <c r="U67" s="16">
        <v>10.1</v>
      </c>
      <c r="V67" s="76"/>
      <c r="W67" s="16">
        <v>16.100000000000001</v>
      </c>
    </row>
    <row r="68" spans="1:23" ht="12.75" customHeight="1">
      <c r="A68" s="60"/>
      <c r="B68" s="77" t="s">
        <v>26</v>
      </c>
      <c r="C68" s="60"/>
      <c r="D68" s="12"/>
      <c r="E68" s="16">
        <v>0.7</v>
      </c>
      <c r="F68" s="12"/>
      <c r="G68" s="16">
        <v>1.5</v>
      </c>
      <c r="H68" s="12"/>
      <c r="I68" s="16">
        <v>1.1000000000000001</v>
      </c>
      <c r="J68" s="12"/>
      <c r="K68" s="16">
        <v>1.2</v>
      </c>
      <c r="L68" s="12"/>
      <c r="M68" s="16">
        <v>2.7</v>
      </c>
      <c r="N68" s="12"/>
      <c r="O68" s="16">
        <v>3.1</v>
      </c>
      <c r="P68" s="12"/>
      <c r="Q68" s="16">
        <v>1.2</v>
      </c>
      <c r="R68" s="16"/>
      <c r="S68" s="16">
        <v>0.7</v>
      </c>
      <c r="T68" s="60"/>
      <c r="U68" s="16">
        <v>0.4</v>
      </c>
      <c r="V68" s="76"/>
      <c r="W68" s="16">
        <v>0.4</v>
      </c>
    </row>
    <row r="69" spans="1:23" ht="6" customHeight="1">
      <c r="A69" s="60"/>
      <c r="B69" s="77"/>
      <c r="C69" s="60"/>
      <c r="D69" s="12"/>
      <c r="E69" s="16"/>
      <c r="F69" s="12"/>
      <c r="G69" s="16"/>
      <c r="H69" s="12"/>
      <c r="I69" s="16"/>
      <c r="J69" s="12"/>
      <c r="K69" s="16"/>
      <c r="L69" s="12"/>
      <c r="M69" s="16"/>
      <c r="N69" s="12"/>
      <c r="O69" s="16"/>
      <c r="P69" s="12"/>
      <c r="Q69" s="16"/>
      <c r="R69" s="16"/>
      <c r="S69" s="16"/>
      <c r="T69" s="60"/>
      <c r="U69" s="16"/>
      <c r="V69" s="76"/>
      <c r="W69" s="16"/>
    </row>
    <row r="70" spans="1:23" ht="12.75" customHeight="1">
      <c r="A70" s="79" t="s">
        <v>27</v>
      </c>
      <c r="B70" s="60"/>
      <c r="C70" s="60"/>
      <c r="D70" s="34"/>
      <c r="E70" s="27">
        <f>-86.8+4</f>
        <v>-82.8</v>
      </c>
      <c r="F70" s="34"/>
      <c r="G70" s="27">
        <f>-79.5-1.5</f>
        <v>-81</v>
      </c>
      <c r="H70" s="34"/>
      <c r="I70" s="27">
        <f>-72.5-1.2</f>
        <v>-73.7</v>
      </c>
      <c r="J70" s="34"/>
      <c r="K70" s="27">
        <f>-86.3-0.3</f>
        <v>-86.6</v>
      </c>
      <c r="L70" s="34"/>
      <c r="M70" s="27">
        <f>-82.2-2.6-0.9</f>
        <v>-85.7</v>
      </c>
      <c r="N70" s="34"/>
      <c r="O70" s="27">
        <f>-89.9-0.6-0.4</f>
        <v>-90.9</v>
      </c>
      <c r="P70" s="12"/>
      <c r="Q70" s="16">
        <v>-92.1</v>
      </c>
      <c r="R70" s="16"/>
      <c r="S70" s="12">
        <f>-ROUND((SUM(S62:S68)-0.5)*0.3947,1)-0.4</f>
        <v>-84.5</v>
      </c>
      <c r="T70" s="60"/>
      <c r="U70" s="12">
        <f>-ROUND((SUM(U62:U68)-0.5)*0.3947,1)-0.4</f>
        <v>-85.2</v>
      </c>
      <c r="V70" s="76"/>
      <c r="W70" s="12">
        <f>-ROUND((SUM(W62:W68)-0.5)*0.3947,1)-0.4</f>
        <v>-90.5</v>
      </c>
    </row>
    <row r="71" spans="1:23" ht="6" customHeight="1">
      <c r="A71" s="79"/>
      <c r="B71" s="60"/>
      <c r="C71" s="60"/>
      <c r="D71" s="34"/>
      <c r="E71" s="16"/>
      <c r="F71" s="34"/>
      <c r="G71" s="16"/>
      <c r="H71" s="34"/>
      <c r="I71" s="16"/>
      <c r="J71" s="34"/>
      <c r="K71" s="16"/>
      <c r="L71" s="34"/>
      <c r="M71" s="16"/>
      <c r="N71" s="34"/>
      <c r="O71" s="16"/>
      <c r="P71" s="12"/>
      <c r="Q71" s="16"/>
      <c r="R71" s="16"/>
      <c r="S71" s="16"/>
      <c r="T71" s="60"/>
      <c r="U71" s="16"/>
      <c r="V71" s="76"/>
      <c r="W71" s="16"/>
    </row>
    <row r="72" spans="1:23" ht="12.75" customHeight="1">
      <c r="A72" s="73" t="s">
        <v>83</v>
      </c>
      <c r="B72" s="60"/>
      <c r="C72" s="60"/>
      <c r="D72" s="35"/>
      <c r="E72" s="16"/>
      <c r="F72" s="35"/>
      <c r="G72" s="16"/>
      <c r="H72" s="35"/>
      <c r="I72" s="16"/>
      <c r="J72" s="35"/>
      <c r="K72" s="16"/>
      <c r="L72" s="35"/>
      <c r="M72" s="16"/>
      <c r="N72" s="35"/>
      <c r="O72" s="16"/>
      <c r="P72" s="12"/>
      <c r="Q72" s="16"/>
      <c r="R72" s="16"/>
      <c r="S72" s="16"/>
      <c r="T72" s="60"/>
      <c r="U72" s="16"/>
      <c r="V72" s="76"/>
      <c r="W72" s="16"/>
    </row>
    <row r="73" spans="1:23" ht="12.75" customHeight="1">
      <c r="A73" s="73"/>
      <c r="B73" s="77" t="s">
        <v>55</v>
      </c>
      <c r="C73" s="60"/>
      <c r="D73" s="35"/>
      <c r="E73" s="16">
        <v>0</v>
      </c>
      <c r="F73" s="35"/>
      <c r="G73" s="16">
        <v>0</v>
      </c>
      <c r="H73" s="35"/>
      <c r="I73" s="16">
        <v>0</v>
      </c>
      <c r="J73" s="35"/>
      <c r="K73" s="16">
        <v>0</v>
      </c>
      <c r="L73" s="35"/>
      <c r="M73" s="16">
        <v>2.6</v>
      </c>
      <c r="N73" s="35"/>
      <c r="O73" s="16">
        <v>0.6</v>
      </c>
      <c r="P73" s="12"/>
      <c r="Q73" s="16">
        <v>0</v>
      </c>
      <c r="R73" s="16"/>
      <c r="S73" s="16">
        <v>0</v>
      </c>
      <c r="T73" s="60"/>
      <c r="U73" s="16">
        <v>0</v>
      </c>
      <c r="V73" s="76"/>
      <c r="W73" s="16">
        <v>0</v>
      </c>
    </row>
    <row r="74" spans="1:23" ht="12.75" customHeight="1">
      <c r="A74" s="73"/>
      <c r="B74" s="77" t="s">
        <v>217</v>
      </c>
      <c r="C74" s="60"/>
      <c r="D74" s="35"/>
      <c r="E74" s="30">
        <f>-1.1-4</f>
        <v>-5.0999999999999996</v>
      </c>
      <c r="F74" s="35"/>
      <c r="G74" s="30">
        <v>1.5</v>
      </c>
      <c r="H74" s="35"/>
      <c r="I74" s="30">
        <v>1.2</v>
      </c>
      <c r="J74" s="35"/>
      <c r="K74" s="30">
        <v>0.3</v>
      </c>
      <c r="L74" s="35"/>
      <c r="M74" s="30">
        <v>0.9</v>
      </c>
      <c r="N74" s="35"/>
      <c r="O74" s="30">
        <v>0.4</v>
      </c>
      <c r="P74" s="12"/>
      <c r="Q74" s="30">
        <v>0</v>
      </c>
      <c r="R74" s="16"/>
      <c r="S74" s="30">
        <v>0</v>
      </c>
      <c r="T74" s="60"/>
      <c r="U74" s="30">
        <v>0</v>
      </c>
      <c r="V74" s="76"/>
      <c r="W74" s="30">
        <v>0</v>
      </c>
    </row>
    <row r="75" spans="1:23" ht="6.75" customHeight="1">
      <c r="A75" s="79"/>
      <c r="B75" s="60"/>
      <c r="C75" s="60"/>
      <c r="D75" s="35"/>
      <c r="E75" s="12"/>
      <c r="F75" s="35"/>
      <c r="G75" s="12"/>
      <c r="H75" s="35"/>
      <c r="I75" s="12"/>
      <c r="J75" s="35"/>
      <c r="K75" s="12"/>
      <c r="L75" s="35"/>
      <c r="M75" s="12"/>
      <c r="N75" s="35"/>
      <c r="O75" s="12"/>
      <c r="P75" s="12"/>
      <c r="Q75" s="12"/>
      <c r="R75" s="12"/>
      <c r="S75" s="12"/>
      <c r="T75" s="60"/>
      <c r="U75" s="12"/>
      <c r="V75" s="76"/>
      <c r="W75" s="12"/>
    </row>
    <row r="76" spans="1:23" ht="12.75" customHeight="1" thickBot="1">
      <c r="A76" s="73" t="s">
        <v>29</v>
      </c>
      <c r="B76" s="60"/>
      <c r="C76" s="60"/>
      <c r="D76" s="26"/>
      <c r="E76" s="33">
        <f>SUM(E62:E74)</f>
        <v>122.59999999999998</v>
      </c>
      <c r="F76" s="26"/>
      <c r="G76" s="33">
        <f>SUM(G62:G74)</f>
        <v>123.39999999999989</v>
      </c>
      <c r="H76" s="26"/>
      <c r="I76" s="33">
        <f>SUM(I62:I74)</f>
        <v>112.39999999999998</v>
      </c>
      <c r="J76" s="26"/>
      <c r="K76" s="33">
        <f>SUM(K62:K74)</f>
        <v>130.29999999999998</v>
      </c>
      <c r="L76" s="26"/>
      <c r="M76" s="33">
        <f>SUM(M62:M74)</f>
        <v>132.79999999999995</v>
      </c>
      <c r="N76" s="26"/>
      <c r="O76" s="33">
        <f>SUM(O62:O74)</f>
        <v>141.60000000000002</v>
      </c>
      <c r="P76" s="12"/>
      <c r="Q76" s="33">
        <f>SUM(Q62:Q74)</f>
        <v>140.6</v>
      </c>
      <c r="R76" s="12"/>
      <c r="S76" s="33">
        <f>SUM(S62:S74)</f>
        <v>129.10000000000008</v>
      </c>
      <c r="T76" s="75"/>
      <c r="U76" s="33">
        <f>SUM(U62:U74)</f>
        <v>130.20000000000005</v>
      </c>
      <c r="V76" s="76"/>
      <c r="W76" s="33">
        <f>SUM(W62:W74)</f>
        <v>138.20000000000005</v>
      </c>
    </row>
    <row r="77" spans="1:23" ht="12.75" customHeight="1" thickTop="1">
      <c r="A77" s="79"/>
      <c r="B77" s="60"/>
      <c r="C77" s="6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60"/>
      <c r="U77" s="75"/>
      <c r="V77" s="76"/>
      <c r="W77" s="76"/>
    </row>
    <row r="78" spans="1:23" ht="12.75" customHeight="1">
      <c r="A78" s="79"/>
      <c r="B78" s="60"/>
      <c r="C78" s="6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60"/>
      <c r="U78" s="75"/>
      <c r="V78" s="76"/>
      <c r="W78" s="76"/>
    </row>
    <row r="79" spans="1:23" ht="12.75" customHeight="1">
      <c r="A79" s="44" t="str">
        <f ca="1">CELL("Filename")</f>
        <v>L:\Historical Financial Info\[DetailInc.xls]NNG-Other</v>
      </c>
      <c r="B79" s="60"/>
      <c r="C79" s="6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60"/>
      <c r="U79" s="75"/>
      <c r="V79" s="76"/>
      <c r="W79" s="124">
        <f ca="1">NOW()</f>
        <v>36836.473603935185</v>
      </c>
    </row>
    <row r="80" spans="1:23">
      <c r="A80" s="81"/>
      <c r="U80" s="76"/>
      <c r="V80" s="76"/>
      <c r="W80" s="76"/>
    </row>
    <row r="81" spans="1:23">
      <c r="A81" s="81"/>
      <c r="U81" s="76"/>
      <c r="V81" s="76"/>
      <c r="W81" s="76"/>
    </row>
    <row r="82" spans="1:23">
      <c r="A82" s="81"/>
      <c r="U82" s="76"/>
      <c r="V82" s="76"/>
      <c r="W82" s="76"/>
    </row>
    <row r="83" spans="1:23">
      <c r="A83" s="81"/>
      <c r="U83" s="76"/>
      <c r="V83" s="76"/>
      <c r="W83" s="76"/>
    </row>
    <row r="84" spans="1:23">
      <c r="U84" s="76"/>
      <c r="V84" s="76"/>
      <c r="W84" s="76"/>
    </row>
    <row r="85" spans="1:23">
      <c r="U85" s="76"/>
      <c r="V85" s="76"/>
      <c r="W85" s="76"/>
    </row>
    <row r="86" spans="1:23">
      <c r="U86" s="76"/>
      <c r="V86" s="76"/>
      <c r="W86" s="76"/>
    </row>
    <row r="87" spans="1:23">
      <c r="U87" s="76"/>
      <c r="V87" s="76"/>
      <c r="W87" s="76"/>
    </row>
  </sheetData>
  <printOptions horizontalCentered="1"/>
  <pageMargins left="0.5" right="0.5" top="0.5" bottom="0.25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6"/>
  <sheetViews>
    <sheetView topLeftCell="A6" zoomScaleNormal="100" workbookViewId="0">
      <pane xSplit="4" ySplit="2" topLeftCell="E8" activePane="bottomRight" state="frozen"/>
      <selection activeCell="A6" sqref="A6"/>
      <selection pane="topRight" activeCell="E6" sqref="E6"/>
      <selection pane="bottomLeft" activeCell="A8" sqref="A8"/>
      <selection pane="bottomRight" activeCell="E8" sqref="E8"/>
    </sheetView>
  </sheetViews>
  <sheetFormatPr defaultColWidth="9.109375" defaultRowHeight="13.2"/>
  <cols>
    <col min="1" max="2" width="1.6640625" style="57" customWidth="1"/>
    <col min="3" max="3" width="30.6640625" style="57" customWidth="1"/>
    <col min="4" max="4" width="5.6640625" style="57" customWidth="1"/>
    <col min="5" max="5" width="8.6640625" style="57" customWidth="1"/>
    <col min="6" max="6" width="2.6640625" style="57" customWidth="1"/>
    <col min="7" max="7" width="8.6640625" style="57" customWidth="1"/>
    <col min="8" max="8" width="2.6640625" style="57" customWidth="1"/>
    <col min="9" max="9" width="8.6640625" style="57" customWidth="1"/>
    <col min="10" max="10" width="2.6640625" style="57" customWidth="1"/>
    <col min="11" max="11" width="8.6640625" style="57" customWidth="1"/>
    <col min="12" max="12" width="2.6640625" style="57" customWidth="1"/>
    <col min="13" max="13" width="8.6640625" style="57" customWidth="1"/>
    <col min="14" max="14" width="2.6640625" style="57" customWidth="1"/>
    <col min="15" max="15" width="8.6640625" style="57" customWidth="1"/>
    <col min="16" max="16" width="2.6640625" style="57" customWidth="1"/>
    <col min="17" max="17" width="8.6640625" style="57" customWidth="1"/>
    <col min="18" max="18" width="2.6640625" style="57" customWidth="1"/>
    <col min="19" max="19" width="8.6640625" style="57" customWidth="1"/>
    <col min="20" max="20" width="2.6640625" style="57" customWidth="1"/>
    <col min="21" max="21" width="8.6640625" style="57" customWidth="1"/>
    <col min="22" max="22" width="2.6640625" style="57" customWidth="1"/>
    <col min="23" max="23" width="8.6640625" style="57" customWidth="1"/>
    <col min="24" max="16384" width="9.109375" style="57"/>
  </cols>
  <sheetData>
    <row r="1" spans="1:23" s="93" customFormat="1" ht="15.6">
      <c r="A1" s="104" t="str">
        <f>+'NNG Detail NI'!A1</f>
        <v>NORTHERN NATURAL GAS GROUP</v>
      </c>
      <c r="B1" s="54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/>
      <c r="V1" s="92"/>
      <c r="W1" s="92"/>
    </row>
    <row r="2" spans="1:23" s="93" customFormat="1" ht="15.6">
      <c r="A2" s="103" t="s">
        <v>67</v>
      </c>
      <c r="B2" s="54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92"/>
      <c r="W2" s="92"/>
    </row>
    <row r="3" spans="1:23">
      <c r="A3" s="95" t="str">
        <f>+'NNG Detail NI'!A3</f>
        <v>($ Millions)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  <c r="V3" s="56"/>
      <c r="W3" s="56"/>
    </row>
    <row r="4" spans="1:23" ht="12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  <c r="V4" s="56"/>
      <c r="W4" s="56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9"/>
      <c r="R5" s="94"/>
      <c r="S5" s="95"/>
      <c r="T5" s="60"/>
    </row>
    <row r="6" spans="1:23" ht="12.75" customHeight="1">
      <c r="A6" s="55"/>
      <c r="B6" s="55"/>
      <c r="C6" s="55"/>
      <c r="D6" s="55"/>
      <c r="E6" s="68" t="str">
        <f>+'NNG Detail NI'!E6</f>
        <v>1993</v>
      </c>
      <c r="F6" s="55"/>
      <c r="G6" s="68" t="str">
        <f>+'NNG Detail NI'!G6</f>
        <v>1994</v>
      </c>
      <c r="H6" s="55"/>
      <c r="I6" s="68" t="str">
        <f>+'NNG Detail NI'!I6</f>
        <v>1995</v>
      </c>
      <c r="J6" s="55"/>
      <c r="K6" s="68" t="str">
        <f>+'NNG Detail NI'!K6</f>
        <v>1996</v>
      </c>
      <c r="L6" s="55"/>
      <c r="M6" s="68" t="str">
        <f>+'NNG Detail NI'!M6</f>
        <v>1997</v>
      </c>
      <c r="N6" s="55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W6" s="68">
        <f>+'NNG Detail NI'!W6</f>
        <v>2002</v>
      </c>
    </row>
    <row r="7" spans="1:23" ht="12.75" customHeight="1">
      <c r="A7" s="60"/>
      <c r="B7" s="60"/>
      <c r="C7" s="60"/>
      <c r="D7" s="69"/>
      <c r="E7" s="72" t="str">
        <f>+'NNG Detail NI'!E7</f>
        <v>Actual</v>
      </c>
      <c r="F7" s="69"/>
      <c r="G7" s="72" t="str">
        <f>+'NNG Detail NI'!G7</f>
        <v>Actual</v>
      </c>
      <c r="H7" s="69"/>
      <c r="I7" s="72" t="str">
        <f>+'NNG Detail NI'!I7</f>
        <v>Actual</v>
      </c>
      <c r="J7" s="69"/>
      <c r="K7" s="72" t="str">
        <f>+'NNG Detail NI'!K7</f>
        <v>Actual</v>
      </c>
      <c r="L7" s="69"/>
      <c r="M7" s="72" t="str">
        <f>+'NNG Detail NI'!M7</f>
        <v>Actual</v>
      </c>
      <c r="N7" s="69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W7" s="72" t="str">
        <f>+'NNG Detail NI'!W7</f>
        <v>Plan</v>
      </c>
    </row>
    <row r="8" spans="1:23" ht="12.75" customHeight="1">
      <c r="A8" s="79" t="s">
        <v>233</v>
      </c>
      <c r="B8" s="60"/>
      <c r="C8" s="60"/>
      <c r="D8" s="69"/>
      <c r="E8" s="135"/>
      <c r="F8" s="69"/>
      <c r="G8" s="135"/>
      <c r="H8" s="69"/>
      <c r="I8" s="135"/>
      <c r="J8" s="69"/>
      <c r="K8" s="135"/>
      <c r="L8" s="69"/>
      <c r="M8" s="135"/>
      <c r="N8" s="69"/>
      <c r="O8" s="135"/>
      <c r="P8" s="95"/>
      <c r="Q8" s="135"/>
      <c r="R8" s="60"/>
      <c r="S8" s="135"/>
      <c r="T8" s="60"/>
      <c r="U8" s="135"/>
      <c r="W8" s="135"/>
    </row>
    <row r="9" spans="1:23" ht="12.75" customHeight="1">
      <c r="A9" s="60"/>
      <c r="B9" s="77" t="s">
        <v>97</v>
      </c>
      <c r="C9" s="77"/>
      <c r="D9" s="12"/>
      <c r="E9" s="141">
        <f>(92.4-36.9)-28.7</f>
        <v>26.800000000000008</v>
      </c>
      <c r="F9" s="12"/>
      <c r="G9" s="16">
        <f>6.8</f>
        <v>6.8</v>
      </c>
      <c r="H9" s="12"/>
      <c r="I9" s="16">
        <v>0.8</v>
      </c>
      <c r="J9" s="12"/>
      <c r="K9" s="16">
        <v>0.1</v>
      </c>
      <c r="L9" s="12"/>
      <c r="M9" s="16">
        <v>-0.1</v>
      </c>
      <c r="N9" s="12"/>
      <c r="O9" s="16">
        <v>-0.1</v>
      </c>
      <c r="P9" s="16"/>
      <c r="Q9" s="16">
        <v>0</v>
      </c>
      <c r="R9" s="60"/>
      <c r="S9" s="16">
        <v>0</v>
      </c>
      <c r="T9" s="66"/>
      <c r="U9" s="16">
        <v>0</v>
      </c>
      <c r="W9" s="16">
        <v>0</v>
      </c>
    </row>
    <row r="10" spans="1:23" ht="12.75" customHeight="1">
      <c r="A10" s="60"/>
      <c r="B10" s="77" t="s">
        <v>98</v>
      </c>
      <c r="C10" s="77"/>
      <c r="D10" s="12"/>
      <c r="E10" s="74">
        <f>37.9+2.1-15.5-11.6-3.4-1.1</f>
        <v>8.4</v>
      </c>
      <c r="F10" s="12"/>
      <c r="G10" s="74">
        <f>37.9+2.1-15.5-11.6-3.4-1.1</f>
        <v>8.4</v>
      </c>
      <c r="H10" s="12"/>
      <c r="I10" s="74">
        <f>37.9+2.1-15.5-11.6-3.4-1.1</f>
        <v>8.4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60"/>
      <c r="S10" s="16">
        <v>0</v>
      </c>
      <c r="T10" s="66"/>
      <c r="U10" s="16">
        <v>0</v>
      </c>
      <c r="W10" s="16">
        <v>0</v>
      </c>
    </row>
    <row r="11" spans="1:23" ht="12.75" customHeight="1">
      <c r="A11" s="60"/>
      <c r="B11" s="77" t="s">
        <v>193</v>
      </c>
      <c r="C11" s="77"/>
      <c r="D11" s="12"/>
      <c r="E11" s="16">
        <v>1.3</v>
      </c>
      <c r="F11" s="12"/>
      <c r="G11" s="16">
        <v>1.3</v>
      </c>
      <c r="H11" s="12"/>
      <c r="I11" s="16">
        <v>1.3</v>
      </c>
      <c r="J11" s="12"/>
      <c r="K11" s="16">
        <v>0</v>
      </c>
      <c r="L11" s="12"/>
      <c r="M11" s="16">
        <v>0</v>
      </c>
      <c r="N11" s="12"/>
      <c r="O11" s="16">
        <v>0</v>
      </c>
      <c r="P11" s="16"/>
      <c r="Q11" s="16">
        <v>0</v>
      </c>
      <c r="R11" s="60"/>
      <c r="S11" s="16">
        <v>0</v>
      </c>
      <c r="T11" s="66"/>
      <c r="U11" s="16">
        <v>0</v>
      </c>
      <c r="W11" s="16">
        <v>0</v>
      </c>
    </row>
    <row r="12" spans="1:23" ht="12.75" customHeight="1">
      <c r="A12" s="60"/>
      <c r="B12" s="77" t="s">
        <v>206</v>
      </c>
      <c r="C12" s="77"/>
      <c r="D12" s="12"/>
      <c r="E12" s="74">
        <f>8.1+5.2+2.6-8.8-1.6-8.6-0.8</f>
        <v>-3.8999999999999995</v>
      </c>
      <c r="F12" s="12"/>
      <c r="G12" s="74">
        <f>8.1+5.2+2.6-8.8-1.6-8.6-0.8</f>
        <v>-3.8999999999999995</v>
      </c>
      <c r="H12" s="12"/>
      <c r="I12" s="16">
        <v>0</v>
      </c>
      <c r="J12" s="12"/>
      <c r="K12" s="16">
        <v>0</v>
      </c>
      <c r="L12" s="12"/>
      <c r="M12" s="16">
        <v>0</v>
      </c>
      <c r="N12" s="12"/>
      <c r="O12" s="16">
        <v>0</v>
      </c>
      <c r="P12" s="16"/>
      <c r="Q12" s="16">
        <v>0</v>
      </c>
      <c r="R12" s="60"/>
      <c r="S12" s="16">
        <v>0</v>
      </c>
      <c r="T12" s="66"/>
      <c r="U12" s="16">
        <v>0</v>
      </c>
      <c r="W12" s="16">
        <v>0</v>
      </c>
    </row>
    <row r="13" spans="1:23" ht="12.75" customHeight="1">
      <c r="A13" s="60"/>
      <c r="B13" s="78" t="s">
        <v>92</v>
      </c>
      <c r="C13" s="77"/>
      <c r="D13" s="12"/>
      <c r="E13" s="121">
        <f>7.8-2.1-8.1</f>
        <v>-2.4000000000000004</v>
      </c>
      <c r="F13" s="12"/>
      <c r="G13" s="121">
        <f>13.2-2.1-8.1</f>
        <v>3</v>
      </c>
      <c r="H13" s="12"/>
      <c r="I13" s="121">
        <f>4.8-2.1</f>
        <v>2.6999999999999997</v>
      </c>
      <c r="J13" s="12"/>
      <c r="K13" s="30">
        <v>5</v>
      </c>
      <c r="L13" s="12"/>
      <c r="M13" s="30">
        <v>3.5</v>
      </c>
      <c r="N13" s="12"/>
      <c r="O13" s="30">
        <v>0</v>
      </c>
      <c r="P13" s="16"/>
      <c r="Q13" s="30">
        <v>0</v>
      </c>
      <c r="R13" s="60"/>
      <c r="S13" s="30">
        <v>0</v>
      </c>
      <c r="T13" s="66"/>
      <c r="U13" s="30">
        <v>0</v>
      </c>
      <c r="W13" s="30">
        <v>0</v>
      </c>
    </row>
    <row r="14" spans="1:23" ht="3.9" customHeight="1">
      <c r="A14" s="60"/>
      <c r="B14" s="60"/>
      <c r="C14" s="60"/>
      <c r="D14" s="69"/>
      <c r="E14" s="135"/>
      <c r="F14" s="69"/>
      <c r="G14" s="135"/>
      <c r="H14" s="69"/>
      <c r="I14" s="135"/>
      <c r="J14" s="69"/>
      <c r="K14" s="135"/>
      <c r="L14" s="69"/>
      <c r="M14" s="135"/>
      <c r="N14" s="69"/>
      <c r="O14" s="135"/>
      <c r="P14" s="95"/>
      <c r="Q14" s="135"/>
      <c r="R14" s="60"/>
      <c r="S14" s="135"/>
      <c r="T14" s="60"/>
      <c r="U14" s="135"/>
      <c r="W14" s="135"/>
    </row>
    <row r="15" spans="1:23" ht="12.75" customHeight="1" thickBot="1">
      <c r="A15" s="60"/>
      <c r="B15" s="60"/>
      <c r="C15" s="73" t="s">
        <v>234</v>
      </c>
      <c r="D15" s="20"/>
      <c r="E15" s="33">
        <f>SUM(E9:E13)</f>
        <v>30.20000000000001</v>
      </c>
      <c r="F15" s="20"/>
      <c r="G15" s="33">
        <f>SUM(G9:G13)</f>
        <v>15.600000000000001</v>
      </c>
      <c r="H15" s="20"/>
      <c r="I15" s="33">
        <f>SUM(I9:I13)</f>
        <v>13.200000000000001</v>
      </c>
      <c r="J15" s="20"/>
      <c r="K15" s="33">
        <f>SUM(K9:K13)</f>
        <v>5.0999999999999996</v>
      </c>
      <c r="L15" s="20"/>
      <c r="M15" s="33">
        <f>SUM(M9:M13)</f>
        <v>3.4</v>
      </c>
      <c r="N15" s="20"/>
      <c r="O15" s="33">
        <f>SUM(O9:O13)</f>
        <v>-0.1</v>
      </c>
      <c r="P15" s="36"/>
      <c r="Q15" s="33">
        <f>SUM(Q9:Q13)</f>
        <v>0</v>
      </c>
      <c r="R15" s="60"/>
      <c r="S15" s="33">
        <f>SUM(S9:S13)</f>
        <v>0</v>
      </c>
      <c r="T15" s="75"/>
      <c r="U15" s="33">
        <f>SUM(U9:U13)</f>
        <v>0</v>
      </c>
      <c r="W15" s="33">
        <f>SUM(W9:W13)</f>
        <v>0</v>
      </c>
    </row>
    <row r="16" spans="1:23" ht="12.75" customHeight="1" thickTop="1">
      <c r="A16" s="60"/>
      <c r="B16" s="60"/>
      <c r="C16" s="60"/>
      <c r="D16" s="69"/>
      <c r="E16" s="135"/>
      <c r="F16" s="69"/>
      <c r="G16" s="135"/>
      <c r="H16" s="69"/>
      <c r="I16" s="135"/>
      <c r="J16" s="69"/>
      <c r="K16" s="135"/>
      <c r="L16" s="69"/>
      <c r="M16" s="135"/>
      <c r="N16" s="69"/>
      <c r="O16" s="135"/>
      <c r="P16" s="95"/>
      <c r="Q16" s="135"/>
      <c r="R16" s="60"/>
      <c r="S16" s="135"/>
      <c r="T16" s="60"/>
      <c r="U16" s="135"/>
      <c r="W16" s="135"/>
    </row>
    <row r="17" spans="1:23" ht="12.75" customHeight="1">
      <c r="A17" s="79" t="s">
        <v>57</v>
      </c>
      <c r="B17" s="60"/>
      <c r="C17" s="6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60"/>
      <c r="S17" s="12"/>
      <c r="T17" s="60"/>
    </row>
    <row r="18" spans="1:23">
      <c r="A18" s="60"/>
      <c r="B18" s="77" t="s">
        <v>192</v>
      </c>
      <c r="C18" s="60"/>
      <c r="D18" s="12"/>
      <c r="E18" s="16">
        <v>0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22.6</v>
      </c>
      <c r="R18" s="66"/>
      <c r="S18" s="16">
        <v>10</v>
      </c>
      <c r="T18" s="60"/>
      <c r="U18" s="16">
        <v>0</v>
      </c>
      <c r="W18" s="16">
        <v>0</v>
      </c>
    </row>
    <row r="19" spans="1:23">
      <c r="A19" s="60"/>
      <c r="B19" s="78" t="s">
        <v>68</v>
      </c>
      <c r="C19" s="60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0.7</v>
      </c>
      <c r="R19" s="66"/>
      <c r="S19" s="16">
        <v>0</v>
      </c>
      <c r="T19" s="60"/>
      <c r="U19" s="16">
        <v>0</v>
      </c>
      <c r="W19" s="16">
        <v>0</v>
      </c>
    </row>
    <row r="20" spans="1:23">
      <c r="A20" s="60"/>
      <c r="B20" s="78" t="s">
        <v>69</v>
      </c>
      <c r="C20" s="60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0</v>
      </c>
      <c r="L20" s="12"/>
      <c r="M20" s="16">
        <v>0</v>
      </c>
      <c r="N20" s="12"/>
      <c r="O20" s="16">
        <v>2.4</v>
      </c>
      <c r="P20" s="16"/>
      <c r="Q20" s="16">
        <v>0.1</v>
      </c>
      <c r="R20" s="66"/>
      <c r="S20" s="16">
        <v>0</v>
      </c>
      <c r="T20" s="60"/>
      <c r="U20" s="16">
        <v>0</v>
      </c>
      <c r="W20" s="16">
        <v>0</v>
      </c>
    </row>
    <row r="21" spans="1:23">
      <c r="A21" s="60"/>
      <c r="B21" s="78" t="s">
        <v>70</v>
      </c>
      <c r="C21" s="60"/>
      <c r="D21" s="12"/>
      <c r="E21" s="16">
        <v>0</v>
      </c>
      <c r="F21" s="12"/>
      <c r="G21" s="16">
        <v>0</v>
      </c>
      <c r="H21" s="12"/>
      <c r="I21" s="16">
        <v>0</v>
      </c>
      <c r="J21" s="12"/>
      <c r="K21" s="16">
        <v>0</v>
      </c>
      <c r="L21" s="12"/>
      <c r="M21" s="16">
        <v>0</v>
      </c>
      <c r="N21" s="12"/>
      <c r="O21" s="16">
        <v>2.8</v>
      </c>
      <c r="P21" s="16"/>
      <c r="Q21" s="16">
        <v>0</v>
      </c>
      <c r="R21" s="66"/>
      <c r="S21" s="16">
        <v>0</v>
      </c>
      <c r="T21" s="60"/>
      <c r="U21" s="16">
        <v>0</v>
      </c>
      <c r="W21" s="16">
        <v>0</v>
      </c>
    </row>
    <row r="22" spans="1:23">
      <c r="A22" s="60"/>
      <c r="B22" s="78" t="s">
        <v>71</v>
      </c>
      <c r="C22" s="60"/>
      <c r="D22" s="12"/>
      <c r="E22" s="16">
        <v>0</v>
      </c>
      <c r="F22" s="12"/>
      <c r="G22" s="16">
        <v>0</v>
      </c>
      <c r="H22" s="12"/>
      <c r="I22" s="16">
        <v>0</v>
      </c>
      <c r="J22" s="12"/>
      <c r="K22" s="16">
        <v>0</v>
      </c>
      <c r="L22" s="12"/>
      <c r="M22" s="16">
        <v>0</v>
      </c>
      <c r="N22" s="12"/>
      <c r="O22" s="16">
        <v>20.5</v>
      </c>
      <c r="P22" s="16"/>
      <c r="Q22" s="16">
        <v>0</v>
      </c>
      <c r="R22" s="66"/>
      <c r="S22" s="16">
        <v>0</v>
      </c>
      <c r="T22" s="60"/>
      <c r="U22" s="16">
        <v>0</v>
      </c>
      <c r="W22" s="16">
        <v>0</v>
      </c>
    </row>
    <row r="23" spans="1:23">
      <c r="A23" s="60"/>
      <c r="B23" s="78" t="s">
        <v>94</v>
      </c>
      <c r="C23" s="60"/>
      <c r="D23" s="12"/>
      <c r="E23" s="16">
        <v>0</v>
      </c>
      <c r="F23" s="12"/>
      <c r="G23" s="16">
        <v>0</v>
      </c>
      <c r="H23" s="12"/>
      <c r="I23" s="16">
        <v>0</v>
      </c>
      <c r="J23" s="12"/>
      <c r="K23" s="16">
        <v>0.8</v>
      </c>
      <c r="L23" s="12"/>
      <c r="M23" s="16">
        <v>0</v>
      </c>
      <c r="N23" s="12"/>
      <c r="O23" s="16">
        <v>0</v>
      </c>
      <c r="P23" s="16"/>
      <c r="Q23" s="16">
        <v>0</v>
      </c>
      <c r="R23" s="66"/>
      <c r="S23" s="16">
        <v>0</v>
      </c>
      <c r="T23" s="60"/>
      <c r="U23" s="16">
        <v>0</v>
      </c>
      <c r="W23" s="16">
        <v>0</v>
      </c>
    </row>
    <row r="24" spans="1:23">
      <c r="A24" s="60"/>
      <c r="B24" s="77" t="s">
        <v>72</v>
      </c>
      <c r="C24" s="60"/>
      <c r="D24" s="12"/>
      <c r="E24" s="16">
        <v>0</v>
      </c>
      <c r="F24" s="12"/>
      <c r="G24" s="16">
        <v>0</v>
      </c>
      <c r="H24" s="12"/>
      <c r="I24" s="16">
        <v>0</v>
      </c>
      <c r="J24" s="12"/>
      <c r="K24" s="16">
        <v>0</v>
      </c>
      <c r="L24" s="12"/>
      <c r="M24" s="16">
        <v>0</v>
      </c>
      <c r="N24" s="12"/>
      <c r="O24" s="16">
        <v>0</v>
      </c>
      <c r="P24" s="16"/>
      <c r="Q24" s="16">
        <v>0</v>
      </c>
      <c r="R24" s="66"/>
      <c r="S24" s="16">
        <f>0.5+0.6</f>
        <v>1.1000000000000001</v>
      </c>
      <c r="T24" s="60"/>
      <c r="U24" s="16">
        <v>0</v>
      </c>
      <c r="W24" s="16">
        <v>0</v>
      </c>
    </row>
    <row r="25" spans="1:23">
      <c r="A25" s="60"/>
      <c r="B25" s="77" t="s">
        <v>73</v>
      </c>
      <c r="C25" s="60"/>
      <c r="D25" s="12"/>
      <c r="E25" s="16">
        <v>0</v>
      </c>
      <c r="F25" s="12"/>
      <c r="G25" s="16">
        <v>0</v>
      </c>
      <c r="H25" s="12"/>
      <c r="I25" s="16">
        <v>0</v>
      </c>
      <c r="J25" s="12"/>
      <c r="K25" s="16">
        <v>0</v>
      </c>
      <c r="L25" s="12"/>
      <c r="M25" s="16">
        <v>0.6</v>
      </c>
      <c r="N25" s="12"/>
      <c r="O25" s="16">
        <v>0</v>
      </c>
      <c r="P25" s="16"/>
      <c r="Q25" s="16">
        <v>0</v>
      </c>
      <c r="R25" s="66"/>
      <c r="S25" s="16">
        <v>0</v>
      </c>
      <c r="T25" s="60"/>
      <c r="U25" s="16">
        <v>0</v>
      </c>
      <c r="W25" s="16">
        <v>0</v>
      </c>
    </row>
    <row r="26" spans="1:23">
      <c r="A26" s="60"/>
      <c r="B26" s="78" t="s">
        <v>100</v>
      </c>
      <c r="C26" s="60"/>
      <c r="D26" s="12"/>
      <c r="E26" s="16">
        <v>0</v>
      </c>
      <c r="F26" s="12"/>
      <c r="G26" s="16">
        <v>0</v>
      </c>
      <c r="H26" s="12"/>
      <c r="I26" s="16">
        <v>2.2999999999999998</v>
      </c>
      <c r="J26" s="12"/>
      <c r="K26" s="16">
        <v>0</v>
      </c>
      <c r="L26" s="12"/>
      <c r="M26" s="16">
        <v>0</v>
      </c>
      <c r="N26" s="12"/>
      <c r="O26" s="16">
        <v>0</v>
      </c>
      <c r="P26" s="16"/>
      <c r="Q26" s="16">
        <v>0</v>
      </c>
      <c r="R26" s="66"/>
      <c r="S26" s="16">
        <v>0</v>
      </c>
      <c r="T26" s="60"/>
      <c r="U26" s="16">
        <v>0</v>
      </c>
      <c r="W26" s="16">
        <v>0</v>
      </c>
    </row>
    <row r="27" spans="1:23">
      <c r="A27" s="60"/>
      <c r="B27" s="78" t="s">
        <v>101</v>
      </c>
      <c r="C27" s="60"/>
      <c r="D27" s="12"/>
      <c r="E27" s="16">
        <v>0</v>
      </c>
      <c r="F27" s="12"/>
      <c r="G27" s="16">
        <v>0</v>
      </c>
      <c r="H27" s="12"/>
      <c r="I27" s="16">
        <v>4.0999999999999996</v>
      </c>
      <c r="J27" s="12"/>
      <c r="K27" s="16">
        <v>0</v>
      </c>
      <c r="L27" s="12"/>
      <c r="M27" s="16">
        <v>0</v>
      </c>
      <c r="N27" s="12"/>
      <c r="O27" s="16">
        <v>0</v>
      </c>
      <c r="P27" s="16"/>
      <c r="Q27" s="16">
        <v>0</v>
      </c>
      <c r="R27" s="66"/>
      <c r="S27" s="16">
        <v>0</v>
      </c>
      <c r="T27" s="60"/>
      <c r="U27" s="16">
        <v>0</v>
      </c>
      <c r="W27" s="16">
        <v>0</v>
      </c>
    </row>
    <row r="28" spans="1:23">
      <c r="A28" s="60"/>
      <c r="B28" s="78" t="s">
        <v>203</v>
      </c>
      <c r="C28" s="60"/>
      <c r="D28" s="12"/>
      <c r="E28" s="16">
        <v>0</v>
      </c>
      <c r="F28" s="12"/>
      <c r="G28" s="16">
        <v>0</v>
      </c>
      <c r="H28" s="12"/>
      <c r="I28" s="16">
        <v>0.4</v>
      </c>
      <c r="J28" s="12"/>
      <c r="K28" s="16">
        <v>0</v>
      </c>
      <c r="L28" s="12"/>
      <c r="M28" s="16">
        <v>0</v>
      </c>
      <c r="N28" s="12"/>
      <c r="O28" s="16">
        <v>0</v>
      </c>
      <c r="P28" s="16"/>
      <c r="Q28" s="16">
        <v>0</v>
      </c>
      <c r="R28" s="66"/>
      <c r="S28" s="16">
        <v>0</v>
      </c>
      <c r="T28" s="60"/>
      <c r="U28" s="16">
        <v>0</v>
      </c>
      <c r="W28" s="16">
        <v>0</v>
      </c>
    </row>
    <row r="29" spans="1:23">
      <c r="A29" s="60"/>
      <c r="B29" s="77" t="s">
        <v>74</v>
      </c>
      <c r="C29" s="60"/>
      <c r="D29" s="12"/>
      <c r="E29" s="16">
        <v>0</v>
      </c>
      <c r="F29" s="12"/>
      <c r="G29" s="16">
        <v>0</v>
      </c>
      <c r="H29" s="12"/>
      <c r="I29" s="16">
        <v>0</v>
      </c>
      <c r="J29" s="12"/>
      <c r="K29" s="16">
        <v>0</v>
      </c>
      <c r="L29" s="12"/>
      <c r="M29" s="16">
        <v>0</v>
      </c>
      <c r="N29" s="12"/>
      <c r="O29" s="16">
        <v>0</v>
      </c>
      <c r="P29" s="16"/>
      <c r="Q29" s="16">
        <v>0</v>
      </c>
      <c r="R29" s="66"/>
      <c r="S29" s="16">
        <v>0.1</v>
      </c>
      <c r="T29" s="60"/>
      <c r="U29" s="16">
        <v>0</v>
      </c>
      <c r="W29" s="16">
        <v>0</v>
      </c>
    </row>
    <row r="30" spans="1:23">
      <c r="A30" s="60"/>
      <c r="B30" s="78" t="s">
        <v>75</v>
      </c>
      <c r="C30" s="60"/>
      <c r="D30" s="12"/>
      <c r="E30" s="16">
        <v>0</v>
      </c>
      <c r="F30" s="12"/>
      <c r="G30" s="16">
        <v>0</v>
      </c>
      <c r="H30" s="12"/>
      <c r="I30" s="16">
        <v>0</v>
      </c>
      <c r="J30" s="12"/>
      <c r="K30" s="16">
        <v>0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f>5+1.8+3</f>
        <v>9.8000000000000007</v>
      </c>
      <c r="T30" s="60"/>
      <c r="U30" s="16">
        <v>0</v>
      </c>
      <c r="W30" s="16">
        <v>0</v>
      </c>
    </row>
    <row r="31" spans="1:23">
      <c r="A31" s="60"/>
      <c r="B31" s="78" t="s">
        <v>76</v>
      </c>
      <c r="C31" s="60"/>
      <c r="D31" s="12"/>
      <c r="E31" s="16">
        <v>0</v>
      </c>
      <c r="F31" s="12"/>
      <c r="G31" s="16">
        <v>0</v>
      </c>
      <c r="H31" s="12"/>
      <c r="I31" s="16">
        <v>0</v>
      </c>
      <c r="J31" s="12"/>
      <c r="K31" s="16">
        <v>0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0.6</v>
      </c>
      <c r="T31" s="60"/>
      <c r="U31" s="16">
        <v>0</v>
      </c>
      <c r="W31" s="16">
        <v>0</v>
      </c>
    </row>
    <row r="32" spans="1:23">
      <c r="A32" s="60"/>
      <c r="B32" s="78" t="s">
        <v>77</v>
      </c>
      <c r="C32" s="60"/>
      <c r="D32" s="12"/>
      <c r="E32" s="15">
        <v>0</v>
      </c>
      <c r="F32" s="12"/>
      <c r="G32" s="15">
        <v>0</v>
      </c>
      <c r="H32" s="12"/>
      <c r="I32" s="15">
        <v>0</v>
      </c>
      <c r="J32" s="12"/>
      <c r="K32" s="15">
        <v>0</v>
      </c>
      <c r="L32" s="12"/>
      <c r="M32" s="15">
        <v>0</v>
      </c>
      <c r="N32" s="12"/>
      <c r="O32" s="15">
        <v>0</v>
      </c>
      <c r="P32" s="15"/>
      <c r="Q32" s="15">
        <v>0</v>
      </c>
      <c r="R32" s="96"/>
      <c r="S32" s="15">
        <v>3</v>
      </c>
      <c r="T32" s="97"/>
      <c r="U32" s="15">
        <v>0</v>
      </c>
      <c r="V32" s="98"/>
      <c r="W32" s="15">
        <v>0</v>
      </c>
    </row>
    <row r="33" spans="1:23">
      <c r="A33" s="60"/>
      <c r="B33" s="77" t="s">
        <v>60</v>
      </c>
      <c r="C33" s="60"/>
      <c r="D33" s="12"/>
      <c r="E33" s="30">
        <v>0</v>
      </c>
      <c r="F33" s="12"/>
      <c r="G33" s="30">
        <v>0</v>
      </c>
      <c r="H33" s="12"/>
      <c r="I33" s="30">
        <v>0</v>
      </c>
      <c r="J33" s="12"/>
      <c r="K33" s="30">
        <v>0</v>
      </c>
      <c r="L33" s="12"/>
      <c r="M33" s="30">
        <v>0</v>
      </c>
      <c r="N33" s="12"/>
      <c r="O33" s="30">
        <v>0</v>
      </c>
      <c r="P33" s="15"/>
      <c r="Q33" s="30">
        <v>0</v>
      </c>
      <c r="R33" s="66"/>
      <c r="S33" s="30">
        <v>0</v>
      </c>
      <c r="T33" s="60"/>
      <c r="U33" s="30">
        <f>15+12.2-10+7</f>
        <v>24.2</v>
      </c>
      <c r="W33" s="30">
        <f>15+13.2-17+8</f>
        <v>19.2</v>
      </c>
    </row>
    <row r="34" spans="1:23" ht="3.9" customHeight="1">
      <c r="A34" s="60"/>
      <c r="B34" s="60"/>
      <c r="C34" s="60"/>
      <c r="D34" s="12"/>
      <c r="E34" s="26"/>
      <c r="F34" s="12"/>
      <c r="G34" s="26"/>
      <c r="H34" s="12"/>
      <c r="I34" s="26"/>
      <c r="J34" s="12"/>
      <c r="K34" s="26"/>
      <c r="L34" s="12"/>
      <c r="M34" s="26"/>
      <c r="N34" s="12"/>
      <c r="O34" s="26"/>
      <c r="P34" s="26"/>
      <c r="Q34" s="26"/>
      <c r="R34" s="60"/>
      <c r="S34" s="26"/>
      <c r="T34" s="60"/>
      <c r="U34" s="26"/>
      <c r="W34" s="26"/>
    </row>
    <row r="35" spans="1:23" ht="13.8" thickBot="1">
      <c r="A35" s="60"/>
      <c r="B35" s="60"/>
      <c r="C35" s="73" t="s">
        <v>61</v>
      </c>
      <c r="D35" s="20"/>
      <c r="E35" s="33">
        <f>SUM(E18:E34)</f>
        <v>0</v>
      </c>
      <c r="F35" s="20"/>
      <c r="G35" s="33">
        <f>SUM(G18:G34)</f>
        <v>0</v>
      </c>
      <c r="H35" s="20"/>
      <c r="I35" s="33">
        <f>SUM(I18:I34)</f>
        <v>6.8</v>
      </c>
      <c r="J35" s="20"/>
      <c r="K35" s="33">
        <f>SUM(K18:K34)</f>
        <v>0.8</v>
      </c>
      <c r="L35" s="20"/>
      <c r="M35" s="33">
        <f>SUM(M18:M34)</f>
        <v>0.6</v>
      </c>
      <c r="N35" s="20"/>
      <c r="O35" s="33">
        <f>SUM(O18:O34)</f>
        <v>25.7</v>
      </c>
      <c r="P35" s="36"/>
      <c r="Q35" s="33">
        <f>SUM(Q18:Q34)</f>
        <v>23.400000000000002</v>
      </c>
      <c r="R35" s="60"/>
      <c r="S35" s="33">
        <f>SUM(S18:S34)</f>
        <v>24.6</v>
      </c>
      <c r="T35" s="75"/>
      <c r="U35" s="33">
        <f>SUM(U18:U34)</f>
        <v>24.2</v>
      </c>
      <c r="W35" s="33">
        <f>SUM(W18:W34)</f>
        <v>19.2</v>
      </c>
    </row>
    <row r="36" spans="1:23" ht="13.8" thickTop="1">
      <c r="A36" s="60"/>
      <c r="B36" s="60"/>
      <c r="C36" s="6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60"/>
      <c r="S36" s="12"/>
      <c r="T36" s="60"/>
    </row>
    <row r="37" spans="1:23" ht="12.75" customHeight="1">
      <c r="A37" s="79" t="s">
        <v>78</v>
      </c>
      <c r="B37" s="60"/>
      <c r="C37" s="6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60"/>
      <c r="S37" s="12"/>
      <c r="T37" s="60"/>
    </row>
    <row r="38" spans="1:23" ht="12.75" customHeight="1">
      <c r="A38" s="60"/>
      <c r="B38" s="77" t="s">
        <v>106</v>
      </c>
      <c r="C38" s="60"/>
      <c r="D38" s="12"/>
      <c r="E38" s="16">
        <v>0</v>
      </c>
      <c r="F38" s="12"/>
      <c r="G38" s="16">
        <v>0</v>
      </c>
      <c r="H38" s="12"/>
      <c r="I38" s="16">
        <v>-21</v>
      </c>
      <c r="J38" s="12"/>
      <c r="K38" s="16">
        <v>18</v>
      </c>
      <c r="L38" s="12"/>
      <c r="M38" s="16">
        <v>3</v>
      </c>
      <c r="N38" s="12"/>
      <c r="O38" s="16">
        <v>-10</v>
      </c>
      <c r="P38" s="16"/>
      <c r="Q38" s="16">
        <v>9</v>
      </c>
      <c r="R38" s="66"/>
      <c r="S38" s="16">
        <v>0</v>
      </c>
      <c r="T38" s="60"/>
      <c r="U38" s="16">
        <v>0</v>
      </c>
      <c r="W38" s="16">
        <v>0</v>
      </c>
    </row>
    <row r="39" spans="1:23" ht="12.75" customHeight="1">
      <c r="A39" s="60"/>
      <c r="B39" s="77" t="s">
        <v>145</v>
      </c>
      <c r="C39" s="60"/>
      <c r="D39" s="12"/>
      <c r="E39" s="16">
        <v>0</v>
      </c>
      <c r="F39" s="12"/>
      <c r="G39" s="16">
        <v>0</v>
      </c>
      <c r="H39" s="12"/>
      <c r="I39" s="16">
        <v>0</v>
      </c>
      <c r="J39" s="12"/>
      <c r="K39" s="16">
        <v>0</v>
      </c>
      <c r="L39" s="12"/>
      <c r="M39" s="16">
        <v>2.5</v>
      </c>
      <c r="N39" s="12"/>
      <c r="O39" s="16">
        <v>0</v>
      </c>
      <c r="P39" s="16"/>
      <c r="Q39" s="16">
        <v>0</v>
      </c>
      <c r="R39" s="66"/>
      <c r="S39" s="16">
        <v>0</v>
      </c>
      <c r="T39" s="60"/>
      <c r="U39" s="16">
        <v>0</v>
      </c>
      <c r="V39" s="66"/>
      <c r="W39" s="16">
        <v>0</v>
      </c>
    </row>
    <row r="40" spans="1:23" ht="12.75" customHeight="1">
      <c r="A40" s="60"/>
      <c r="B40" s="77" t="s">
        <v>146</v>
      </c>
      <c r="C40" s="60"/>
      <c r="D40" s="12"/>
      <c r="E40" s="16">
        <v>0</v>
      </c>
      <c r="F40" s="12"/>
      <c r="G40" s="16">
        <v>0</v>
      </c>
      <c r="H40" s="12"/>
      <c r="I40" s="16">
        <v>0</v>
      </c>
      <c r="J40" s="12"/>
      <c r="K40" s="16">
        <v>0</v>
      </c>
      <c r="L40" s="12"/>
      <c r="M40" s="16">
        <v>1.1000000000000001</v>
      </c>
      <c r="N40" s="12"/>
      <c r="O40" s="16">
        <v>0</v>
      </c>
      <c r="P40" s="16"/>
      <c r="Q40" s="16">
        <v>0</v>
      </c>
      <c r="R40" s="66"/>
      <c r="S40" s="16">
        <v>0</v>
      </c>
      <c r="T40" s="60"/>
      <c r="U40" s="16">
        <v>0</v>
      </c>
      <c r="V40" s="66"/>
      <c r="W40" s="16">
        <v>0</v>
      </c>
    </row>
    <row r="41" spans="1:23" ht="12.75" customHeight="1">
      <c r="A41" s="60"/>
      <c r="B41" s="77" t="s">
        <v>207</v>
      </c>
      <c r="C41" s="60"/>
      <c r="D41" s="12"/>
      <c r="E41" s="16">
        <v>-13.5</v>
      </c>
      <c r="F41" s="12"/>
      <c r="G41" s="16">
        <v>11.9</v>
      </c>
      <c r="H41" s="12"/>
      <c r="I41" s="16">
        <v>-8.4</v>
      </c>
      <c r="J41" s="12"/>
      <c r="K41" s="16">
        <v>10</v>
      </c>
      <c r="L41" s="12"/>
      <c r="M41" s="16">
        <v>0</v>
      </c>
      <c r="N41" s="12"/>
      <c r="O41" s="16">
        <v>0</v>
      </c>
      <c r="P41" s="16"/>
      <c r="Q41" s="16">
        <v>0</v>
      </c>
      <c r="R41" s="66"/>
      <c r="S41" s="16">
        <v>0</v>
      </c>
      <c r="T41" s="60"/>
      <c r="U41" s="16">
        <v>0</v>
      </c>
      <c r="V41" s="66"/>
      <c r="W41" s="16">
        <v>0</v>
      </c>
    </row>
    <row r="42" spans="1:23" ht="12.75" customHeight="1">
      <c r="A42" s="60"/>
      <c r="B42" s="77" t="s">
        <v>114</v>
      </c>
      <c r="C42" s="60"/>
      <c r="D42" s="12"/>
      <c r="E42" s="16">
        <v>0</v>
      </c>
      <c r="F42" s="12"/>
      <c r="G42" s="16">
        <v>0</v>
      </c>
      <c r="H42" s="12"/>
      <c r="I42" s="16">
        <v>-5</v>
      </c>
      <c r="J42" s="12"/>
      <c r="K42" s="16">
        <v>2.5</v>
      </c>
      <c r="L42" s="12"/>
      <c r="M42" s="16">
        <v>0</v>
      </c>
      <c r="N42" s="12"/>
      <c r="O42" s="16">
        <v>2.5</v>
      </c>
      <c r="P42" s="16"/>
      <c r="Q42" s="16">
        <v>0</v>
      </c>
      <c r="R42" s="66"/>
      <c r="S42" s="16">
        <v>0</v>
      </c>
      <c r="T42" s="60"/>
      <c r="U42" s="16">
        <v>0</v>
      </c>
      <c r="W42" s="16">
        <v>0</v>
      </c>
    </row>
    <row r="43" spans="1:23" ht="12.75" customHeight="1">
      <c r="A43" s="60"/>
      <c r="B43" s="77" t="s">
        <v>112</v>
      </c>
      <c r="C43" s="60"/>
      <c r="D43" s="12"/>
      <c r="E43" s="16">
        <v>0</v>
      </c>
      <c r="F43" s="12"/>
      <c r="G43" s="16">
        <v>0</v>
      </c>
      <c r="H43" s="12"/>
      <c r="I43" s="16">
        <v>0</v>
      </c>
      <c r="J43" s="12"/>
      <c r="K43" s="16">
        <v>0</v>
      </c>
      <c r="L43" s="12"/>
      <c r="M43" s="16">
        <v>0</v>
      </c>
      <c r="N43" s="12"/>
      <c r="O43" s="16">
        <v>1.7</v>
      </c>
      <c r="P43" s="16"/>
      <c r="Q43" s="16">
        <v>0</v>
      </c>
      <c r="R43" s="66"/>
      <c r="S43" s="16">
        <v>0</v>
      </c>
      <c r="T43" s="60"/>
      <c r="U43" s="16">
        <v>0</v>
      </c>
      <c r="W43" s="16">
        <v>0</v>
      </c>
    </row>
    <row r="44" spans="1:23" ht="12.75" customHeight="1">
      <c r="A44" s="60"/>
      <c r="B44" s="77" t="s">
        <v>113</v>
      </c>
      <c r="C44" s="60"/>
      <c r="D44" s="12"/>
      <c r="E44" s="16">
        <v>0</v>
      </c>
      <c r="F44" s="12"/>
      <c r="G44" s="16">
        <v>0</v>
      </c>
      <c r="H44" s="12"/>
      <c r="I44" s="16">
        <v>0</v>
      </c>
      <c r="J44" s="12"/>
      <c r="K44" s="16">
        <v>0</v>
      </c>
      <c r="L44" s="12"/>
      <c r="M44" s="16">
        <v>0</v>
      </c>
      <c r="N44" s="12"/>
      <c r="O44" s="16">
        <v>1.1000000000000001</v>
      </c>
      <c r="P44" s="16"/>
      <c r="Q44" s="16">
        <v>0</v>
      </c>
      <c r="R44" s="66"/>
      <c r="S44" s="16">
        <v>0</v>
      </c>
      <c r="T44" s="60"/>
      <c r="U44" s="16">
        <v>0</v>
      </c>
      <c r="W44" s="16">
        <v>0</v>
      </c>
    </row>
    <row r="45" spans="1:23" ht="12.75" customHeight="1">
      <c r="A45" s="60"/>
      <c r="B45" s="77" t="s">
        <v>235</v>
      </c>
      <c r="C45" s="60"/>
      <c r="D45" s="12"/>
      <c r="E45" s="16">
        <v>0</v>
      </c>
      <c r="F45" s="12"/>
      <c r="G45" s="16">
        <v>-2.6</v>
      </c>
      <c r="H45" s="12"/>
      <c r="I45" s="16">
        <v>2.6</v>
      </c>
      <c r="J45" s="12"/>
      <c r="K45" s="16">
        <v>-2.6</v>
      </c>
      <c r="L45" s="12"/>
      <c r="M45" s="16">
        <v>0</v>
      </c>
      <c r="N45" s="12"/>
      <c r="O45" s="16">
        <v>0</v>
      </c>
      <c r="P45" s="16"/>
      <c r="Q45" s="16">
        <v>0</v>
      </c>
      <c r="R45" s="66"/>
      <c r="S45" s="16">
        <v>0</v>
      </c>
      <c r="T45" s="60"/>
      <c r="U45" s="16">
        <v>0</v>
      </c>
      <c r="W45" s="16">
        <v>0</v>
      </c>
    </row>
    <row r="46" spans="1:23" ht="12.75" customHeight="1">
      <c r="A46" s="60"/>
      <c r="B46" s="77" t="s">
        <v>195</v>
      </c>
      <c r="C46" s="60"/>
      <c r="D46" s="12"/>
      <c r="E46" s="16">
        <v>0</v>
      </c>
      <c r="F46" s="12"/>
      <c r="G46" s="16">
        <v>0</v>
      </c>
      <c r="H46" s="12"/>
      <c r="I46" s="16">
        <v>-2</v>
      </c>
      <c r="J46" s="12"/>
      <c r="K46" s="16">
        <v>0</v>
      </c>
      <c r="L46" s="12"/>
      <c r="M46" s="16">
        <v>0</v>
      </c>
      <c r="N46" s="12"/>
      <c r="O46" s="16">
        <v>2</v>
      </c>
      <c r="P46" s="16"/>
      <c r="Q46" s="16">
        <v>0</v>
      </c>
      <c r="R46" s="66"/>
      <c r="S46" s="16">
        <v>0</v>
      </c>
      <c r="T46" s="60"/>
      <c r="U46" s="16">
        <v>0</v>
      </c>
      <c r="W46" s="16">
        <v>0</v>
      </c>
    </row>
    <row r="47" spans="1:23" ht="12.75" customHeight="1">
      <c r="A47" s="60"/>
      <c r="B47" s="77" t="s">
        <v>212</v>
      </c>
      <c r="C47" s="60"/>
      <c r="D47" s="12"/>
      <c r="E47" s="16">
        <v>0</v>
      </c>
      <c r="F47" s="12"/>
      <c r="G47" s="16">
        <v>0.6</v>
      </c>
      <c r="H47" s="12"/>
      <c r="I47" s="16">
        <v>0</v>
      </c>
      <c r="J47" s="12"/>
      <c r="K47" s="16">
        <v>0</v>
      </c>
      <c r="L47" s="12"/>
      <c r="M47" s="16">
        <v>0</v>
      </c>
      <c r="N47" s="12"/>
      <c r="O47" s="16">
        <v>0</v>
      </c>
      <c r="P47" s="16"/>
      <c r="Q47" s="16">
        <v>0</v>
      </c>
      <c r="R47" s="66"/>
      <c r="S47" s="16">
        <v>0</v>
      </c>
      <c r="T47" s="60"/>
      <c r="U47" s="16">
        <v>0</v>
      </c>
      <c r="W47" s="16">
        <v>0</v>
      </c>
    </row>
    <row r="48" spans="1:23" ht="12.75" customHeight="1">
      <c r="A48" s="60"/>
      <c r="B48" s="77" t="s">
        <v>115</v>
      </c>
      <c r="C48" s="60"/>
      <c r="D48" s="12"/>
      <c r="E48" s="16">
        <v>0</v>
      </c>
      <c r="F48" s="12"/>
      <c r="G48" s="16">
        <v>0</v>
      </c>
      <c r="H48" s="12"/>
      <c r="I48" s="16">
        <v>0</v>
      </c>
      <c r="J48" s="12"/>
      <c r="K48" s="16">
        <v>0</v>
      </c>
      <c r="L48" s="12"/>
      <c r="M48" s="16">
        <v>0</v>
      </c>
      <c r="N48" s="12"/>
      <c r="O48" s="16">
        <v>-0.2</v>
      </c>
      <c r="P48" s="16"/>
      <c r="Q48" s="16">
        <v>0</v>
      </c>
      <c r="R48" s="66"/>
      <c r="S48" s="16">
        <v>0</v>
      </c>
      <c r="T48" s="60"/>
      <c r="U48" s="16">
        <v>0</v>
      </c>
      <c r="W48" s="16">
        <v>0</v>
      </c>
    </row>
    <row r="49" spans="1:23" ht="12.75" customHeight="1">
      <c r="A49" s="60"/>
      <c r="B49" s="77" t="s">
        <v>109</v>
      </c>
      <c r="D49" s="12"/>
      <c r="E49" s="16">
        <v>0</v>
      </c>
      <c r="F49" s="12"/>
      <c r="G49" s="16">
        <v>0</v>
      </c>
      <c r="H49" s="12"/>
      <c r="I49" s="16">
        <v>0</v>
      </c>
      <c r="J49" s="12"/>
      <c r="K49" s="16">
        <v>0</v>
      </c>
      <c r="L49" s="12"/>
      <c r="M49" s="16">
        <v>0</v>
      </c>
      <c r="N49" s="12"/>
      <c r="O49" s="16">
        <v>0</v>
      </c>
      <c r="P49" s="16"/>
      <c r="Q49" s="27">
        <f>-3.1+3.1</f>
        <v>0</v>
      </c>
      <c r="R49" s="66"/>
      <c r="S49" s="16">
        <v>3.1</v>
      </c>
      <c r="T49" s="60"/>
      <c r="U49" s="16">
        <v>0</v>
      </c>
      <c r="V49" s="66"/>
      <c r="W49" s="16">
        <v>0</v>
      </c>
    </row>
    <row r="50" spans="1:23" ht="12.75" customHeight="1">
      <c r="A50" s="60"/>
      <c r="B50" s="77" t="s">
        <v>108</v>
      </c>
      <c r="D50" s="12"/>
      <c r="E50" s="16">
        <v>0</v>
      </c>
      <c r="F50" s="12"/>
      <c r="G50" s="16">
        <v>0</v>
      </c>
      <c r="H50" s="12"/>
      <c r="I50" s="16">
        <v>0</v>
      </c>
      <c r="J50" s="12"/>
      <c r="K50" s="27">
        <f>0.7-1.9</f>
        <v>-1.2</v>
      </c>
      <c r="L50" s="12"/>
      <c r="M50" s="16">
        <v>1.9</v>
      </c>
      <c r="N50" s="12"/>
      <c r="O50" s="16">
        <v>-9.5</v>
      </c>
      <c r="P50" s="16"/>
      <c r="Q50" s="16">
        <v>9.5</v>
      </c>
      <c r="R50" s="66"/>
      <c r="S50" s="16">
        <v>0</v>
      </c>
      <c r="T50" s="60"/>
      <c r="U50" s="16">
        <v>0</v>
      </c>
      <c r="V50" s="66"/>
      <c r="W50" s="16">
        <v>0</v>
      </c>
    </row>
    <row r="51" spans="1:23" ht="12.75" customHeight="1">
      <c r="A51" s="60"/>
      <c r="B51" s="77" t="s">
        <v>105</v>
      </c>
      <c r="C51" s="60"/>
      <c r="D51" s="12"/>
      <c r="E51" s="30">
        <v>0</v>
      </c>
      <c r="F51" s="12"/>
      <c r="G51" s="30">
        <v>0</v>
      </c>
      <c r="H51" s="12"/>
      <c r="I51" s="30">
        <v>0</v>
      </c>
      <c r="J51" s="12"/>
      <c r="K51" s="30">
        <v>0</v>
      </c>
      <c r="L51" s="12"/>
      <c r="M51" s="30">
        <v>0</v>
      </c>
      <c r="N51" s="12"/>
      <c r="O51" s="30">
        <v>0</v>
      </c>
      <c r="P51" s="15"/>
      <c r="Q51" s="30">
        <v>-4.2</v>
      </c>
      <c r="R51" s="66"/>
      <c r="S51" s="13">
        <f>-Q51</f>
        <v>4.2</v>
      </c>
      <c r="T51" s="60"/>
      <c r="U51" s="30">
        <v>0</v>
      </c>
      <c r="V51" s="66"/>
      <c r="W51" s="30">
        <v>0</v>
      </c>
    </row>
    <row r="52" spans="1:23" ht="3.9" customHeight="1">
      <c r="A52" s="60"/>
      <c r="B52" s="60"/>
      <c r="C52" s="60"/>
      <c r="D52" s="12"/>
      <c r="E52" s="26"/>
      <c r="F52" s="12"/>
      <c r="G52" s="26"/>
      <c r="H52" s="12"/>
      <c r="I52" s="26"/>
      <c r="J52" s="12"/>
      <c r="K52" s="26"/>
      <c r="L52" s="12"/>
      <c r="M52" s="26"/>
      <c r="N52" s="12"/>
      <c r="O52" s="26"/>
      <c r="P52" s="26"/>
      <c r="Q52" s="26"/>
      <c r="R52" s="60"/>
      <c r="S52" s="26"/>
      <c r="T52" s="60"/>
      <c r="U52" s="26"/>
      <c r="W52" s="26"/>
    </row>
    <row r="53" spans="1:23" ht="13.8" thickBot="1">
      <c r="A53" s="60"/>
      <c r="B53" s="60"/>
      <c r="C53" s="79" t="s">
        <v>79</v>
      </c>
      <c r="D53" s="20"/>
      <c r="E53" s="33">
        <f>SUM(E38:E51)</f>
        <v>-13.5</v>
      </c>
      <c r="F53" s="20"/>
      <c r="G53" s="33">
        <f>SUM(G38:G51)</f>
        <v>9.9</v>
      </c>
      <c r="H53" s="20"/>
      <c r="I53" s="33">
        <f>SUM(I38:I51)</f>
        <v>-33.799999999999997</v>
      </c>
      <c r="J53" s="20"/>
      <c r="K53" s="33">
        <f>SUM(K38:K51)</f>
        <v>26.7</v>
      </c>
      <c r="L53" s="20"/>
      <c r="M53" s="33">
        <f>SUM(M38:M51)</f>
        <v>8.5</v>
      </c>
      <c r="N53" s="20"/>
      <c r="O53" s="33">
        <f>SUM(O38:O51)</f>
        <v>-12.399999999999999</v>
      </c>
      <c r="P53" s="36"/>
      <c r="Q53" s="33">
        <f>SUM(Q38:Q51)</f>
        <v>14.3</v>
      </c>
      <c r="R53" s="60"/>
      <c r="S53" s="33">
        <f>SUM(S38:S51)</f>
        <v>7.3000000000000007</v>
      </c>
      <c r="T53" s="75"/>
      <c r="U53" s="33">
        <f>SUM(U38:U51)</f>
        <v>0</v>
      </c>
      <c r="W53" s="33">
        <f>SUM(W38:W51)</f>
        <v>0</v>
      </c>
    </row>
    <row r="54" spans="1:23" ht="13.8" thickTop="1">
      <c r="A54" s="60"/>
      <c r="B54" s="60"/>
      <c r="C54" s="6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60"/>
      <c r="S54" s="12"/>
      <c r="T54" s="60"/>
      <c r="U54" s="12"/>
      <c r="W54" s="12"/>
    </row>
    <row r="55" spans="1:23">
      <c r="A55" s="60"/>
      <c r="B55" s="60"/>
      <c r="C55" s="6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36"/>
      <c r="P55" s="36"/>
      <c r="Q55" s="36"/>
      <c r="R55" s="60"/>
      <c r="S55" s="36"/>
      <c r="T55" s="60"/>
    </row>
    <row r="56" spans="1:23">
      <c r="A56" s="44" t="str">
        <f ca="1">CELL("Filename")</f>
        <v>L:\Historical Financial Info\[DetailInc.xls]NNG-Other</v>
      </c>
      <c r="B56" s="60"/>
      <c r="C56" s="6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60"/>
      <c r="W56" s="124">
        <f ca="1">NOW()</f>
        <v>36836.473603935185</v>
      </c>
    </row>
  </sheetData>
  <printOptions horizontalCentered="1"/>
  <pageMargins left="0.5" right="0.5" top="0.5" bottom="0.25" header="0" footer="0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6" zoomScaleNormal="100" workbookViewId="0">
      <pane xSplit="4" ySplit="2" topLeftCell="H8" activePane="bottomRight" state="frozen"/>
      <selection activeCell="A6" sqref="A6"/>
      <selection pane="topRight" activeCell="E6" sqref="E6"/>
      <selection pane="bottomLeft" activeCell="A8" sqref="A8"/>
      <selection pane="bottomRight" activeCell="Q24" sqref="Q24"/>
    </sheetView>
  </sheetViews>
  <sheetFormatPr defaultColWidth="9.109375" defaultRowHeight="13.2"/>
  <cols>
    <col min="1" max="2" width="1.6640625" style="57" customWidth="1"/>
    <col min="3" max="3" width="35.6640625" style="57" customWidth="1"/>
    <col min="4" max="4" width="10.6640625" style="57" customWidth="1"/>
    <col min="5" max="5" width="8.6640625" style="57" customWidth="1"/>
    <col min="6" max="6" width="2.6640625" style="57" customWidth="1"/>
    <col min="7" max="7" width="8.6640625" style="57" customWidth="1"/>
    <col min="8" max="8" width="2.6640625" style="57" customWidth="1"/>
    <col min="9" max="9" width="8.6640625" style="57" customWidth="1"/>
    <col min="10" max="10" width="2.6640625" style="57" customWidth="1"/>
    <col min="11" max="11" width="8.6640625" style="57" customWidth="1"/>
    <col min="12" max="12" width="2.6640625" style="57" customWidth="1"/>
    <col min="13" max="13" width="8.6640625" style="57" customWidth="1"/>
    <col min="14" max="14" width="2.6640625" style="57" customWidth="1"/>
    <col min="15" max="15" width="8.6640625" style="57" customWidth="1"/>
    <col min="16" max="16" width="2.6640625" style="57" customWidth="1"/>
    <col min="17" max="17" width="8.6640625" style="57" customWidth="1"/>
    <col min="18" max="18" width="2.6640625" style="57" customWidth="1"/>
    <col min="19" max="19" width="8.6640625" style="57" customWidth="1"/>
    <col min="20" max="20" width="2.6640625" style="57" customWidth="1"/>
    <col min="21" max="21" width="8.6640625" style="57" customWidth="1"/>
    <col min="22" max="22" width="2.6640625" style="57" customWidth="1"/>
    <col min="23" max="23" width="8.6640625" style="57" customWidth="1"/>
    <col min="24" max="16384" width="9.109375" style="57"/>
  </cols>
  <sheetData>
    <row r="1" spans="1:23" s="93" customFormat="1" ht="15.6">
      <c r="A1" s="104" t="str">
        <f>+'NNG Detail NI'!A1</f>
        <v>NORTHERN NATURAL GAS GROUP</v>
      </c>
      <c r="B1" s="54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/>
      <c r="V1" s="92"/>
      <c r="W1" s="92"/>
    </row>
    <row r="2" spans="1:23" s="93" customFormat="1" ht="15.6">
      <c r="A2" s="103" t="s">
        <v>67</v>
      </c>
      <c r="B2" s="54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92"/>
      <c r="W2" s="92"/>
    </row>
    <row r="3" spans="1:23">
      <c r="A3" s="95" t="str">
        <f>+'NNG Detail NI'!A3</f>
        <v>($ Millions)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  <c r="V3" s="56"/>
      <c r="W3" s="56"/>
    </row>
    <row r="4" spans="1:23" ht="12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  <c r="V4" s="56"/>
      <c r="W4" s="56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9"/>
      <c r="R5" s="94"/>
      <c r="S5" s="95"/>
      <c r="T5" s="60"/>
    </row>
    <row r="6" spans="1:23" ht="12.75" customHeight="1">
      <c r="A6" s="55"/>
      <c r="B6" s="55"/>
      <c r="C6" s="55"/>
      <c r="D6" s="55"/>
      <c r="E6" s="68" t="str">
        <f>+'NNG Detail NI'!E6</f>
        <v>1993</v>
      </c>
      <c r="F6" s="55"/>
      <c r="G6" s="68" t="str">
        <f>+'NNG Detail NI'!G6</f>
        <v>1994</v>
      </c>
      <c r="H6" s="55"/>
      <c r="I6" s="68" t="str">
        <f>+'NNG Detail NI'!I6</f>
        <v>1995</v>
      </c>
      <c r="J6" s="55"/>
      <c r="K6" s="68" t="str">
        <f>+'NNG Detail NI'!K6</f>
        <v>1996</v>
      </c>
      <c r="L6" s="55"/>
      <c r="M6" s="68" t="str">
        <f>+'NNG Detail NI'!M6</f>
        <v>1997</v>
      </c>
      <c r="N6" s="55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W6" s="68">
        <f>+'NNG Detail NI'!W6</f>
        <v>2002</v>
      </c>
    </row>
    <row r="7" spans="1:23" ht="12.75" customHeight="1">
      <c r="A7" s="60"/>
      <c r="B7" s="60"/>
      <c r="C7" s="60"/>
      <c r="D7" s="69"/>
      <c r="E7" s="72" t="str">
        <f>+'NNG Detail NI'!E7</f>
        <v>Actual</v>
      </c>
      <c r="F7" s="69"/>
      <c r="G7" s="72" t="str">
        <f>+'NNG Detail NI'!G7</f>
        <v>Actual</v>
      </c>
      <c r="H7" s="69"/>
      <c r="I7" s="72" t="str">
        <f>+'NNG Detail NI'!I7</f>
        <v>Actual</v>
      </c>
      <c r="J7" s="69"/>
      <c r="K7" s="72" t="str">
        <f>+'NNG Detail NI'!K7</f>
        <v>Actual</v>
      </c>
      <c r="L7" s="69"/>
      <c r="M7" s="72" t="str">
        <f>+'NNG Detail NI'!M7</f>
        <v>Actual</v>
      </c>
      <c r="N7" s="69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W7" s="72" t="str">
        <f>+'NNG Detail NI'!W7</f>
        <v>Plan</v>
      </c>
    </row>
    <row r="8" spans="1:23" ht="12.75" customHeight="1">
      <c r="A8" s="79" t="s">
        <v>62</v>
      </c>
      <c r="B8" s="60"/>
      <c r="C8" s="6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60"/>
      <c r="S8" s="12"/>
      <c r="T8" s="60"/>
      <c r="U8" s="12"/>
      <c r="W8" s="12"/>
    </row>
    <row r="9" spans="1:23" ht="12.75" customHeight="1">
      <c r="A9" s="79"/>
      <c r="B9" s="77" t="s">
        <v>116</v>
      </c>
      <c r="C9" s="60"/>
      <c r="D9" s="12"/>
      <c r="E9" s="16">
        <v>0</v>
      </c>
      <c r="F9" s="12"/>
      <c r="G9" s="16">
        <v>0</v>
      </c>
      <c r="H9" s="12"/>
      <c r="I9" s="16">
        <v>0</v>
      </c>
      <c r="J9" s="12"/>
      <c r="K9" s="16">
        <v>0</v>
      </c>
      <c r="L9" s="12"/>
      <c r="M9" s="16">
        <v>1.4</v>
      </c>
      <c r="N9" s="12"/>
      <c r="O9" s="16">
        <v>1</v>
      </c>
      <c r="P9" s="16"/>
      <c r="Q9" s="16">
        <v>0</v>
      </c>
      <c r="R9" s="66"/>
      <c r="S9" s="16">
        <v>0</v>
      </c>
      <c r="T9" s="60"/>
      <c r="U9" s="16">
        <v>0</v>
      </c>
      <c r="W9" s="16">
        <v>0</v>
      </c>
    </row>
    <row r="10" spans="1:23" ht="12.75" customHeight="1">
      <c r="A10" s="79"/>
      <c r="B10" s="78" t="s">
        <v>198</v>
      </c>
      <c r="D10" s="12"/>
      <c r="E10" s="16">
        <v>0</v>
      </c>
      <c r="F10" s="12"/>
      <c r="G10" s="16">
        <v>0</v>
      </c>
      <c r="H10" s="12"/>
      <c r="I10" s="16">
        <v>-0.5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60"/>
      <c r="S10" s="16">
        <v>0</v>
      </c>
      <c r="T10" s="66"/>
      <c r="U10" s="16">
        <v>0</v>
      </c>
      <c r="W10" s="16">
        <v>0</v>
      </c>
    </row>
    <row r="11" spans="1:23" ht="12.75" customHeight="1">
      <c r="A11" s="79"/>
      <c r="B11" s="77" t="s">
        <v>221</v>
      </c>
      <c r="C11" s="60"/>
      <c r="D11" s="12"/>
      <c r="E11" s="16">
        <v>0</v>
      </c>
      <c r="F11" s="12"/>
      <c r="G11" s="16">
        <v>0</v>
      </c>
      <c r="H11" s="12"/>
      <c r="I11" s="16">
        <v>0</v>
      </c>
      <c r="J11" s="12"/>
      <c r="K11" s="16">
        <v>0</v>
      </c>
      <c r="L11" s="12"/>
      <c r="M11" s="16">
        <v>0</v>
      </c>
      <c r="N11" s="12"/>
      <c r="O11" s="16">
        <v>0</v>
      </c>
      <c r="P11" s="16"/>
      <c r="Q11" s="16">
        <v>16</v>
      </c>
      <c r="R11" s="60"/>
      <c r="S11" s="16">
        <v>0</v>
      </c>
      <c r="T11" s="66"/>
      <c r="U11" s="16">
        <v>0</v>
      </c>
      <c r="W11" s="16">
        <v>0</v>
      </c>
    </row>
    <row r="12" spans="1:23" ht="12.75" customHeight="1">
      <c r="A12" s="79"/>
      <c r="B12" s="77"/>
      <c r="C12" s="77" t="s">
        <v>239</v>
      </c>
      <c r="D12" s="12"/>
      <c r="E12" s="16">
        <v>0</v>
      </c>
      <c r="F12" s="12"/>
      <c r="G12" s="16">
        <v>0</v>
      </c>
      <c r="H12" s="12"/>
      <c r="I12" s="16">
        <v>0</v>
      </c>
      <c r="J12" s="12"/>
      <c r="K12" s="16">
        <v>0</v>
      </c>
      <c r="L12" s="12"/>
      <c r="M12" s="16">
        <v>0</v>
      </c>
      <c r="N12" s="12"/>
      <c r="O12" s="16">
        <v>9.5</v>
      </c>
      <c r="P12" s="16"/>
      <c r="Q12" s="16">
        <v>-9.5</v>
      </c>
      <c r="R12" s="60"/>
      <c r="S12" s="16">
        <v>0</v>
      </c>
      <c r="T12" s="66"/>
      <c r="U12" s="16">
        <v>0</v>
      </c>
      <c r="W12" s="16">
        <v>0</v>
      </c>
    </row>
    <row r="13" spans="1:23" ht="12.75" customHeight="1">
      <c r="A13" s="79"/>
      <c r="B13" s="77"/>
      <c r="C13" s="77" t="s">
        <v>240</v>
      </c>
      <c r="D13" s="12"/>
      <c r="E13" s="16">
        <v>0</v>
      </c>
      <c r="F13" s="12"/>
      <c r="G13" s="16">
        <v>0</v>
      </c>
      <c r="H13" s="12"/>
      <c r="I13" s="16">
        <v>0</v>
      </c>
      <c r="J13" s="12"/>
      <c r="K13" s="16">
        <v>0</v>
      </c>
      <c r="L13" s="12"/>
      <c r="M13" s="16">
        <v>0</v>
      </c>
      <c r="N13" s="12"/>
      <c r="O13" s="16">
        <v>0</v>
      </c>
      <c r="P13" s="16"/>
      <c r="Q13" s="16">
        <v>4.4000000000000004</v>
      </c>
      <c r="R13" s="60"/>
      <c r="S13" s="16">
        <v>0</v>
      </c>
      <c r="T13" s="66"/>
      <c r="U13" s="16">
        <v>0</v>
      </c>
      <c r="W13" s="16">
        <v>0</v>
      </c>
    </row>
    <row r="14" spans="1:23" ht="12.75" customHeight="1">
      <c r="A14" s="79"/>
      <c r="B14" s="77"/>
      <c r="C14" s="77" t="s">
        <v>222</v>
      </c>
      <c r="D14" s="12"/>
      <c r="E14" s="16">
        <v>15.3</v>
      </c>
      <c r="F14" s="12"/>
      <c r="G14" s="16">
        <v>0</v>
      </c>
      <c r="H14" s="12"/>
      <c r="I14" s="16">
        <v>0</v>
      </c>
      <c r="J14" s="12"/>
      <c r="K14" s="16">
        <v>0</v>
      </c>
      <c r="L14" s="12"/>
      <c r="M14" s="16">
        <v>0</v>
      </c>
      <c r="N14" s="12"/>
      <c r="O14" s="16">
        <v>0</v>
      </c>
      <c r="P14" s="16"/>
      <c r="Q14" s="16">
        <v>0</v>
      </c>
      <c r="R14" s="60"/>
      <c r="S14" s="16">
        <v>0</v>
      </c>
      <c r="T14" s="66"/>
      <c r="U14" s="16">
        <v>0</v>
      </c>
      <c r="W14" s="16">
        <v>0</v>
      </c>
    </row>
    <row r="15" spans="1:23" ht="12.75" customHeight="1">
      <c r="A15" s="79"/>
      <c r="B15" s="77" t="s">
        <v>117</v>
      </c>
      <c r="C15" s="60"/>
      <c r="D15" s="12"/>
      <c r="E15" s="16">
        <v>0</v>
      </c>
      <c r="F15" s="12"/>
      <c r="G15" s="16">
        <v>0</v>
      </c>
      <c r="H15" s="12"/>
      <c r="I15" s="16">
        <v>2.6</v>
      </c>
      <c r="J15" s="12"/>
      <c r="K15" s="16">
        <v>1</v>
      </c>
      <c r="L15" s="12"/>
      <c r="M15" s="16">
        <v>1.2</v>
      </c>
      <c r="N15" s="12"/>
      <c r="O15" s="16">
        <v>0.5</v>
      </c>
      <c r="P15" s="16"/>
      <c r="Q15" s="16">
        <v>0</v>
      </c>
      <c r="R15" s="66"/>
      <c r="S15" s="16">
        <v>0</v>
      </c>
      <c r="T15" s="60"/>
      <c r="U15" s="16">
        <v>0</v>
      </c>
      <c r="W15" s="16">
        <v>0</v>
      </c>
    </row>
    <row r="16" spans="1:23" ht="12.75" customHeight="1">
      <c r="A16" s="79"/>
      <c r="B16" s="78" t="s">
        <v>99</v>
      </c>
      <c r="C16" s="60"/>
      <c r="D16" s="26"/>
      <c r="E16" s="15">
        <v>0</v>
      </c>
      <c r="F16" s="26"/>
      <c r="G16" s="15">
        <v>0</v>
      </c>
      <c r="H16" s="26"/>
      <c r="I16" s="15">
        <v>7.5</v>
      </c>
      <c r="J16" s="26"/>
      <c r="K16" s="15">
        <v>0</v>
      </c>
      <c r="L16" s="26"/>
      <c r="M16" s="15">
        <v>0</v>
      </c>
      <c r="N16" s="26"/>
      <c r="O16" s="15">
        <v>0</v>
      </c>
      <c r="P16" s="15"/>
      <c r="Q16" s="15">
        <v>0</v>
      </c>
      <c r="R16" s="96"/>
      <c r="S16" s="15">
        <v>0</v>
      </c>
      <c r="T16" s="60"/>
      <c r="U16" s="15">
        <v>0</v>
      </c>
      <c r="W16" s="16">
        <v>0</v>
      </c>
    </row>
    <row r="17" spans="1:23" ht="12.75" customHeight="1">
      <c r="A17" s="79"/>
      <c r="B17" s="78" t="s">
        <v>201</v>
      </c>
      <c r="C17" s="60"/>
      <c r="D17" s="26"/>
      <c r="E17" s="15">
        <v>0</v>
      </c>
      <c r="F17" s="26"/>
      <c r="G17" s="15">
        <v>-0.2</v>
      </c>
      <c r="H17" s="26"/>
      <c r="I17" s="15">
        <v>0.8</v>
      </c>
      <c r="J17" s="26"/>
      <c r="K17" s="15">
        <v>0</v>
      </c>
      <c r="L17" s="26"/>
      <c r="M17" s="15">
        <v>0</v>
      </c>
      <c r="N17" s="26"/>
      <c r="O17" s="15">
        <v>0</v>
      </c>
      <c r="P17" s="15"/>
      <c r="Q17" s="15">
        <v>0</v>
      </c>
      <c r="R17" s="96"/>
      <c r="S17" s="15">
        <v>0</v>
      </c>
      <c r="T17" s="60"/>
      <c r="U17" s="15">
        <v>0</v>
      </c>
      <c r="W17" s="16">
        <v>0</v>
      </c>
    </row>
    <row r="18" spans="1:23" ht="12.75" customHeight="1">
      <c r="A18" s="79"/>
      <c r="B18" s="77" t="s">
        <v>213</v>
      </c>
      <c r="C18" s="60"/>
      <c r="D18" s="26"/>
      <c r="E18" s="16">
        <v>7.5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0</v>
      </c>
      <c r="R18" s="60"/>
      <c r="S18" s="16">
        <v>0</v>
      </c>
      <c r="T18" s="66"/>
      <c r="U18" s="16">
        <v>0</v>
      </c>
      <c r="W18" s="16">
        <v>0</v>
      </c>
    </row>
    <row r="19" spans="1:23" ht="12.75" customHeight="1">
      <c r="A19" s="79"/>
      <c r="B19" s="78" t="s">
        <v>215</v>
      </c>
      <c r="C19" s="60"/>
      <c r="D19" s="26"/>
      <c r="E19" s="16">
        <v>7.2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</v>
      </c>
      <c r="R19" s="60"/>
      <c r="S19" s="16">
        <v>0</v>
      </c>
      <c r="T19" s="66"/>
      <c r="U19" s="16">
        <v>0</v>
      </c>
      <c r="W19" s="16">
        <v>0</v>
      </c>
    </row>
    <row r="20" spans="1:23" ht="12.75" customHeight="1">
      <c r="A20" s="79"/>
      <c r="B20" s="77" t="s">
        <v>186</v>
      </c>
      <c r="C20" s="60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0</v>
      </c>
      <c r="L20" s="12"/>
      <c r="M20" s="16">
        <v>0</v>
      </c>
      <c r="N20" s="12"/>
      <c r="O20" s="16">
        <v>0</v>
      </c>
      <c r="P20" s="16"/>
      <c r="Q20" s="16">
        <v>0</v>
      </c>
      <c r="R20" s="60"/>
      <c r="S20" s="16">
        <v>5</v>
      </c>
      <c r="T20" s="66"/>
      <c r="U20" s="16">
        <v>7.5</v>
      </c>
      <c r="W20" s="16">
        <v>7.5</v>
      </c>
    </row>
    <row r="21" spans="1:23">
      <c r="A21" s="60"/>
      <c r="B21" s="77" t="s">
        <v>124</v>
      </c>
      <c r="C21" s="60"/>
      <c r="D21" s="26"/>
      <c r="E21" s="15">
        <v>0</v>
      </c>
      <c r="F21" s="26"/>
      <c r="G21" s="15">
        <v>0</v>
      </c>
      <c r="H21" s="26"/>
      <c r="I21" s="15">
        <v>0</v>
      </c>
      <c r="J21" s="26"/>
      <c r="K21" s="15">
        <v>0</v>
      </c>
      <c r="L21" s="26"/>
      <c r="M21" s="15">
        <v>0</v>
      </c>
      <c r="N21" s="26"/>
      <c r="O21" s="15">
        <v>1.5</v>
      </c>
      <c r="P21" s="15"/>
      <c r="Q21" s="15">
        <v>0</v>
      </c>
      <c r="R21" s="96"/>
      <c r="S21" s="16">
        <v>0</v>
      </c>
      <c r="T21" s="60"/>
      <c r="U21" s="16">
        <v>0</v>
      </c>
      <c r="W21" s="16">
        <v>0</v>
      </c>
    </row>
    <row r="22" spans="1:23">
      <c r="A22" s="60"/>
      <c r="B22" s="78" t="s">
        <v>107</v>
      </c>
      <c r="C22" s="60"/>
      <c r="D22" s="12"/>
      <c r="E22" s="15">
        <v>0</v>
      </c>
      <c r="F22" s="26"/>
      <c r="G22" s="15">
        <v>0</v>
      </c>
      <c r="H22" s="26"/>
      <c r="I22" s="15">
        <v>0</v>
      </c>
      <c r="J22" s="26"/>
      <c r="K22" s="15">
        <v>0</v>
      </c>
      <c r="L22" s="26"/>
      <c r="M22" s="15">
        <v>0.3</v>
      </c>
      <c r="N22" s="26"/>
      <c r="O22" s="15">
        <v>0</v>
      </c>
      <c r="P22" s="15"/>
      <c r="Q22" s="15">
        <v>0.2</v>
      </c>
      <c r="R22" s="96"/>
      <c r="S22" s="16">
        <v>0</v>
      </c>
      <c r="T22" s="60"/>
      <c r="U22" s="16">
        <v>0</v>
      </c>
      <c r="W22" s="16">
        <v>0</v>
      </c>
    </row>
    <row r="23" spans="1:23">
      <c r="A23" s="60"/>
      <c r="B23" s="78" t="s">
        <v>208</v>
      </c>
      <c r="C23" s="60"/>
      <c r="D23" s="12"/>
      <c r="E23" s="15">
        <v>0</v>
      </c>
      <c r="F23" s="26"/>
      <c r="G23" s="15">
        <v>2.4</v>
      </c>
      <c r="H23" s="26"/>
      <c r="I23" s="15">
        <v>0</v>
      </c>
      <c r="J23" s="26"/>
      <c r="K23" s="15">
        <v>0</v>
      </c>
      <c r="L23" s="26"/>
      <c r="M23" s="15">
        <v>0</v>
      </c>
      <c r="N23" s="26"/>
      <c r="O23" s="15">
        <v>0</v>
      </c>
      <c r="P23" s="15"/>
      <c r="Q23" s="15">
        <v>0</v>
      </c>
      <c r="R23" s="96"/>
      <c r="S23" s="16">
        <v>0</v>
      </c>
      <c r="T23" s="60"/>
      <c r="U23" s="16">
        <v>0</v>
      </c>
      <c r="W23" s="16">
        <v>0</v>
      </c>
    </row>
    <row r="24" spans="1:23" ht="12.75" customHeight="1">
      <c r="A24" s="60"/>
      <c r="B24" s="77" t="s">
        <v>242</v>
      </c>
      <c r="C24" s="60"/>
      <c r="D24" s="26"/>
      <c r="E24" s="15">
        <v>0</v>
      </c>
      <c r="F24" s="26"/>
      <c r="G24" s="15">
        <v>0</v>
      </c>
      <c r="H24" s="26"/>
      <c r="I24" s="15">
        <v>0</v>
      </c>
      <c r="J24" s="26"/>
      <c r="K24" s="15">
        <v>0</v>
      </c>
      <c r="L24" s="26"/>
      <c r="M24" s="15">
        <v>0</v>
      </c>
      <c r="N24" s="26"/>
      <c r="O24" s="15">
        <v>0</v>
      </c>
      <c r="P24" s="15"/>
      <c r="Q24" s="15">
        <f>3.5-3.5</f>
        <v>0</v>
      </c>
      <c r="R24" s="96"/>
      <c r="S24" s="16">
        <v>0</v>
      </c>
      <c r="T24" s="60"/>
      <c r="U24" s="16">
        <v>0</v>
      </c>
      <c r="W24" s="16">
        <v>0</v>
      </c>
    </row>
    <row r="25" spans="1:23" ht="12.75" customHeight="1">
      <c r="A25" s="60"/>
      <c r="B25" s="77" t="s">
        <v>102</v>
      </c>
      <c r="C25" s="60"/>
      <c r="D25" s="26"/>
      <c r="E25" s="15">
        <v>0</v>
      </c>
      <c r="F25" s="26"/>
      <c r="G25" s="15">
        <v>0</v>
      </c>
      <c r="H25" s="26"/>
      <c r="I25" s="15">
        <v>1.1000000000000001</v>
      </c>
      <c r="J25" s="26"/>
      <c r="K25" s="15">
        <v>0</v>
      </c>
      <c r="L25" s="26"/>
      <c r="M25" s="15">
        <v>0</v>
      </c>
      <c r="N25" s="26"/>
      <c r="O25" s="15">
        <v>0</v>
      </c>
      <c r="P25" s="15"/>
      <c r="Q25" s="15">
        <v>2</v>
      </c>
      <c r="R25" s="96"/>
      <c r="S25" s="16">
        <v>0</v>
      </c>
      <c r="T25" s="60"/>
      <c r="U25" s="16">
        <v>0</v>
      </c>
      <c r="W25" s="16">
        <v>0</v>
      </c>
    </row>
    <row r="26" spans="1:23" ht="12.75" customHeight="1">
      <c r="A26" s="60"/>
      <c r="B26" s="78" t="s">
        <v>218</v>
      </c>
      <c r="C26" s="60"/>
      <c r="D26" s="26"/>
      <c r="E26" s="15">
        <v>0</v>
      </c>
      <c r="F26" s="26"/>
      <c r="G26" s="15">
        <v>0</v>
      </c>
      <c r="H26" s="26"/>
      <c r="I26" s="15">
        <v>0</v>
      </c>
      <c r="J26" s="26"/>
      <c r="K26" s="15">
        <v>0</v>
      </c>
      <c r="L26" s="26"/>
      <c r="M26" s="15">
        <v>0</v>
      </c>
      <c r="N26" s="26"/>
      <c r="O26" s="116">
        <f>0.3+0.8+0.2</f>
        <v>1.3</v>
      </c>
      <c r="P26" s="15"/>
      <c r="Q26" s="15">
        <v>0</v>
      </c>
      <c r="R26" s="96"/>
      <c r="S26" s="16">
        <v>0</v>
      </c>
      <c r="T26" s="60"/>
      <c r="U26" s="16">
        <v>0</v>
      </c>
      <c r="W26" s="16">
        <v>0</v>
      </c>
    </row>
    <row r="27" spans="1:23" ht="12.75" customHeight="1">
      <c r="A27" s="60"/>
      <c r="B27" s="77" t="s">
        <v>219</v>
      </c>
      <c r="C27" s="60"/>
      <c r="D27" s="26"/>
      <c r="E27" s="15">
        <v>0</v>
      </c>
      <c r="F27" s="26"/>
      <c r="G27" s="15">
        <v>0</v>
      </c>
      <c r="H27" s="26"/>
      <c r="I27" s="15">
        <v>0</v>
      </c>
      <c r="J27" s="26"/>
      <c r="K27" s="15">
        <v>0</v>
      </c>
      <c r="L27" s="26"/>
      <c r="M27" s="15">
        <v>0</v>
      </c>
      <c r="N27" s="26"/>
      <c r="O27" s="116">
        <f>0.4+0.1</f>
        <v>0.5</v>
      </c>
      <c r="P27" s="15"/>
      <c r="Q27" s="15">
        <v>0</v>
      </c>
      <c r="R27" s="96"/>
      <c r="S27" s="16">
        <v>0</v>
      </c>
      <c r="T27" s="60"/>
      <c r="U27" s="16">
        <v>0</v>
      </c>
      <c r="W27" s="16">
        <v>0</v>
      </c>
    </row>
    <row r="28" spans="1:23" ht="12.75" customHeight="1">
      <c r="A28" s="60"/>
      <c r="B28" s="77" t="s">
        <v>199</v>
      </c>
      <c r="C28" s="60"/>
      <c r="D28" s="26"/>
      <c r="E28" s="15">
        <v>0</v>
      </c>
      <c r="F28" s="26"/>
      <c r="G28" s="15">
        <v>0</v>
      </c>
      <c r="H28" s="26"/>
      <c r="I28" s="15">
        <v>0.3</v>
      </c>
      <c r="J28" s="26"/>
      <c r="K28" s="15">
        <v>0</v>
      </c>
      <c r="L28" s="26"/>
      <c r="M28" s="15">
        <v>0</v>
      </c>
      <c r="N28" s="26"/>
      <c r="O28" s="15">
        <v>0</v>
      </c>
      <c r="P28" s="15"/>
      <c r="Q28" s="15">
        <v>0</v>
      </c>
      <c r="R28" s="96"/>
      <c r="S28" s="16">
        <v>0</v>
      </c>
      <c r="T28" s="60"/>
      <c r="U28" s="16">
        <v>0</v>
      </c>
      <c r="W28" s="16">
        <v>0</v>
      </c>
    </row>
    <row r="29" spans="1:23" ht="12.75" customHeight="1">
      <c r="A29" s="60"/>
      <c r="B29" s="77" t="s">
        <v>200</v>
      </c>
      <c r="C29" s="60"/>
      <c r="D29" s="26"/>
      <c r="E29" s="15">
        <v>0</v>
      </c>
      <c r="F29" s="26"/>
      <c r="G29" s="15">
        <v>0</v>
      </c>
      <c r="H29" s="26"/>
      <c r="I29" s="116">
        <f>-1.6-0.5</f>
        <v>-2.1</v>
      </c>
      <c r="J29" s="26"/>
      <c r="K29" s="15">
        <v>0</v>
      </c>
      <c r="L29" s="26"/>
      <c r="M29" s="15">
        <v>0</v>
      </c>
      <c r="N29" s="26"/>
      <c r="O29" s="15">
        <v>0</v>
      </c>
      <c r="P29" s="15"/>
      <c r="Q29" s="15">
        <v>0</v>
      </c>
      <c r="R29" s="96"/>
      <c r="S29" s="16">
        <v>0</v>
      </c>
      <c r="T29" s="60"/>
      <c r="U29" s="16">
        <v>0</v>
      </c>
      <c r="W29" s="16">
        <v>0</v>
      </c>
    </row>
    <row r="30" spans="1:23" ht="12.75" customHeight="1">
      <c r="A30" s="60"/>
      <c r="B30" s="77" t="s">
        <v>210</v>
      </c>
      <c r="C30" s="60"/>
      <c r="D30" s="26"/>
      <c r="E30" s="16">
        <v>0</v>
      </c>
      <c r="F30" s="12"/>
      <c r="G30" s="16">
        <f>0.9-1+0.4</f>
        <v>0.30000000000000004</v>
      </c>
      <c r="H30" s="12"/>
      <c r="I30" s="16">
        <v>0</v>
      </c>
      <c r="J30" s="12"/>
      <c r="K30" s="16">
        <v>0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v>0</v>
      </c>
      <c r="T30" s="60"/>
      <c r="U30" s="16">
        <v>0</v>
      </c>
      <c r="W30" s="16">
        <v>0</v>
      </c>
    </row>
    <row r="31" spans="1:23" ht="12.75" customHeight="1">
      <c r="A31" s="60"/>
      <c r="B31" s="77" t="s">
        <v>216</v>
      </c>
      <c r="C31" s="60"/>
      <c r="D31" s="12"/>
      <c r="E31" s="16">
        <v>-7.7</v>
      </c>
      <c r="F31" s="12"/>
      <c r="G31" s="16">
        <v>0</v>
      </c>
      <c r="H31" s="12"/>
      <c r="I31" s="16">
        <v>0</v>
      </c>
      <c r="J31" s="12"/>
      <c r="K31" s="16">
        <v>0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</v>
      </c>
      <c r="T31" s="60"/>
      <c r="U31" s="16">
        <v>0</v>
      </c>
      <c r="W31" s="16">
        <v>0</v>
      </c>
    </row>
    <row r="32" spans="1:23" ht="12.75" customHeight="1">
      <c r="A32" s="60"/>
      <c r="B32" s="77" t="s">
        <v>228</v>
      </c>
      <c r="C32" s="60"/>
      <c r="D32" s="60"/>
      <c r="E32" s="16">
        <v>0</v>
      </c>
      <c r="F32" s="60"/>
      <c r="G32" s="16">
        <v>0</v>
      </c>
      <c r="H32" s="60"/>
      <c r="I32" s="16">
        <v>0</v>
      </c>
      <c r="J32" s="60"/>
      <c r="K32" s="16">
        <v>0</v>
      </c>
      <c r="L32" s="60"/>
      <c r="M32" s="16">
        <v>0</v>
      </c>
      <c r="N32" s="60"/>
      <c r="O32" s="16">
        <v>0</v>
      </c>
      <c r="P32" s="16"/>
      <c r="Q32" s="116">
        <f>-0.8-0.2-0.1</f>
        <v>-1.1000000000000001</v>
      </c>
      <c r="R32" s="60"/>
      <c r="S32" s="16">
        <v>0</v>
      </c>
      <c r="T32" s="60"/>
      <c r="U32" s="16">
        <v>0</v>
      </c>
      <c r="W32" s="16">
        <v>0</v>
      </c>
    </row>
    <row r="33" spans="1:23" ht="12.75" customHeight="1">
      <c r="A33" s="60"/>
      <c r="B33" s="77" t="s">
        <v>188</v>
      </c>
      <c r="C33" s="60"/>
      <c r="D33" s="26"/>
      <c r="E33" s="15">
        <v>0</v>
      </c>
      <c r="F33" s="26"/>
      <c r="G33" s="15">
        <v>0</v>
      </c>
      <c r="H33" s="26"/>
      <c r="I33" s="15">
        <v>0</v>
      </c>
      <c r="J33" s="26"/>
      <c r="K33" s="15">
        <v>0</v>
      </c>
      <c r="L33" s="26"/>
      <c r="M33" s="15">
        <v>0</v>
      </c>
      <c r="N33" s="26"/>
      <c r="O33" s="15">
        <v>0</v>
      </c>
      <c r="P33" s="15"/>
      <c r="Q33" s="119">
        <v>-1.1000000000000001</v>
      </c>
      <c r="R33" s="96"/>
      <c r="S33" s="16">
        <v>0</v>
      </c>
      <c r="T33" s="60"/>
      <c r="U33" s="16">
        <v>0</v>
      </c>
      <c r="W33" s="16">
        <v>0</v>
      </c>
    </row>
    <row r="34" spans="1:23" ht="12.75" customHeight="1">
      <c r="A34" s="60"/>
      <c r="B34" s="77" t="s">
        <v>118</v>
      </c>
      <c r="C34" s="60"/>
      <c r="D34" s="26"/>
      <c r="E34" s="15">
        <v>0</v>
      </c>
      <c r="F34" s="26"/>
      <c r="G34" s="15">
        <v>0</v>
      </c>
      <c r="H34" s="26"/>
      <c r="I34" s="15">
        <v>-4.8</v>
      </c>
      <c r="J34" s="26"/>
      <c r="K34" s="15">
        <v>1.4</v>
      </c>
      <c r="L34" s="26"/>
      <c r="M34" s="15">
        <v>7</v>
      </c>
      <c r="N34" s="26"/>
      <c r="O34" s="15">
        <v>2.4</v>
      </c>
      <c r="P34" s="15"/>
      <c r="Q34" s="15">
        <v>0</v>
      </c>
      <c r="R34" s="96"/>
      <c r="S34" s="16">
        <v>0</v>
      </c>
      <c r="T34" s="60"/>
      <c r="U34" s="16">
        <v>0</v>
      </c>
      <c r="W34" s="16">
        <v>0</v>
      </c>
    </row>
    <row r="35" spans="1:23" ht="12.75" customHeight="1">
      <c r="A35" s="60"/>
      <c r="B35" s="77" t="s">
        <v>120</v>
      </c>
      <c r="C35" s="60"/>
      <c r="D35" s="26"/>
      <c r="E35" s="15">
        <v>0</v>
      </c>
      <c r="F35" s="26"/>
      <c r="G35" s="15">
        <v>0</v>
      </c>
      <c r="H35" s="26"/>
      <c r="I35" s="15">
        <v>0</v>
      </c>
      <c r="J35" s="26"/>
      <c r="K35" s="15">
        <v>0</v>
      </c>
      <c r="L35" s="26"/>
      <c r="M35" s="15">
        <v>1.4</v>
      </c>
      <c r="N35" s="26"/>
      <c r="O35" s="15">
        <v>5.4</v>
      </c>
      <c r="P35" s="15"/>
      <c r="Q35" s="15">
        <v>0</v>
      </c>
      <c r="R35" s="96"/>
      <c r="S35" s="16">
        <v>0</v>
      </c>
      <c r="T35" s="60"/>
      <c r="U35" s="16">
        <v>0</v>
      </c>
      <c r="W35" s="16">
        <v>0</v>
      </c>
    </row>
    <row r="36" spans="1:23" ht="12.75" customHeight="1">
      <c r="A36" s="60"/>
      <c r="B36" s="78" t="s">
        <v>214</v>
      </c>
      <c r="C36" s="60"/>
      <c r="D36" s="26"/>
      <c r="E36" s="15">
        <v>11.7</v>
      </c>
      <c r="F36" s="26"/>
      <c r="G36" s="15">
        <v>0</v>
      </c>
      <c r="H36" s="26"/>
      <c r="I36" s="15">
        <v>0</v>
      </c>
      <c r="J36" s="26"/>
      <c r="K36" s="15">
        <v>0</v>
      </c>
      <c r="L36" s="26"/>
      <c r="M36" s="15">
        <v>0</v>
      </c>
      <c r="N36" s="26"/>
      <c r="O36" s="15">
        <v>0</v>
      </c>
      <c r="P36" s="15"/>
      <c r="Q36" s="15">
        <v>0</v>
      </c>
      <c r="R36" s="96"/>
      <c r="S36" s="16">
        <v>0</v>
      </c>
      <c r="T36" s="60"/>
      <c r="U36" s="16">
        <v>0</v>
      </c>
      <c r="W36" s="16">
        <v>0</v>
      </c>
    </row>
    <row r="37" spans="1:23" ht="12.75" customHeight="1">
      <c r="A37" s="60"/>
      <c r="B37" s="77" t="s">
        <v>189</v>
      </c>
      <c r="C37" s="60"/>
      <c r="D37" s="26"/>
      <c r="E37" s="15">
        <v>0</v>
      </c>
      <c r="F37" s="26"/>
      <c r="G37" s="15">
        <v>0</v>
      </c>
      <c r="H37" s="26"/>
      <c r="I37" s="15">
        <v>0</v>
      </c>
      <c r="J37" s="26"/>
      <c r="K37" s="15">
        <v>0</v>
      </c>
      <c r="L37" s="26"/>
      <c r="M37" s="15">
        <v>0</v>
      </c>
      <c r="N37" s="26"/>
      <c r="O37" s="15">
        <v>0</v>
      </c>
      <c r="P37" s="15"/>
      <c r="Q37" s="119">
        <v>-0.3</v>
      </c>
      <c r="R37" s="96"/>
      <c r="S37" s="16">
        <v>0</v>
      </c>
      <c r="T37" s="60"/>
      <c r="U37" s="16">
        <v>0</v>
      </c>
      <c r="W37" s="16">
        <v>0</v>
      </c>
    </row>
    <row r="38" spans="1:23" ht="12.75" customHeight="1">
      <c r="A38" s="60"/>
      <c r="B38" s="14" t="s">
        <v>139</v>
      </c>
      <c r="C38" s="60"/>
      <c r="D38" s="26"/>
      <c r="E38" s="15">
        <v>0</v>
      </c>
      <c r="F38" s="26"/>
      <c r="G38" s="15">
        <v>0</v>
      </c>
      <c r="H38" s="26"/>
      <c r="I38" s="15">
        <v>0</v>
      </c>
      <c r="J38" s="26"/>
      <c r="K38" s="15">
        <v>0</v>
      </c>
      <c r="L38" s="26"/>
      <c r="M38" s="15">
        <f>-0.4+0.7</f>
        <v>0.29999999999999993</v>
      </c>
      <c r="N38" s="26"/>
      <c r="O38" s="15">
        <v>0</v>
      </c>
      <c r="P38" s="15"/>
      <c r="Q38" s="15">
        <v>0</v>
      </c>
      <c r="R38" s="96"/>
      <c r="S38" s="16">
        <v>0</v>
      </c>
      <c r="T38" s="60"/>
      <c r="U38" s="16">
        <v>0</v>
      </c>
      <c r="W38" s="16">
        <v>0</v>
      </c>
    </row>
    <row r="39" spans="1:23" ht="12.75" customHeight="1">
      <c r="A39" s="60"/>
      <c r="B39" s="77" t="s">
        <v>80</v>
      </c>
      <c r="C39" s="60"/>
      <c r="D39" s="26"/>
      <c r="E39" s="16">
        <v>0</v>
      </c>
      <c r="F39" s="26"/>
      <c r="G39" s="16">
        <v>0</v>
      </c>
      <c r="H39" s="26"/>
      <c r="I39" s="16">
        <v>0</v>
      </c>
      <c r="J39" s="26"/>
      <c r="K39" s="16">
        <v>0</v>
      </c>
      <c r="L39" s="26"/>
      <c r="M39" s="16">
        <v>0</v>
      </c>
      <c r="N39" s="26"/>
      <c r="O39" s="16">
        <v>0</v>
      </c>
      <c r="P39" s="16"/>
      <c r="Q39" s="15">
        <v>1.2</v>
      </c>
      <c r="R39" s="96"/>
      <c r="S39" s="16">
        <v>0</v>
      </c>
      <c r="T39" s="60"/>
      <c r="U39" s="16">
        <v>0</v>
      </c>
      <c r="W39" s="16">
        <v>0</v>
      </c>
    </row>
    <row r="40" spans="1:23" ht="12.75" customHeight="1">
      <c r="A40" s="60"/>
      <c r="B40" s="77" t="s">
        <v>121</v>
      </c>
      <c r="C40" s="60"/>
      <c r="D40" s="26"/>
      <c r="E40" s="15">
        <v>0</v>
      </c>
      <c r="F40" s="26"/>
      <c r="G40" s="15">
        <v>0</v>
      </c>
      <c r="H40" s="26"/>
      <c r="I40" s="15">
        <v>0</v>
      </c>
      <c r="J40" s="26"/>
      <c r="K40" s="15">
        <v>0</v>
      </c>
      <c r="L40" s="26"/>
      <c r="M40" s="15">
        <v>0</v>
      </c>
      <c r="N40" s="26"/>
      <c r="O40" s="15">
        <v>1.1000000000000001</v>
      </c>
      <c r="P40" s="15"/>
      <c r="Q40" s="15">
        <v>0</v>
      </c>
      <c r="R40" s="96"/>
      <c r="S40" s="16">
        <v>0</v>
      </c>
      <c r="T40" s="60"/>
      <c r="U40" s="16">
        <v>0</v>
      </c>
      <c r="W40" s="16">
        <v>0</v>
      </c>
    </row>
    <row r="41" spans="1:23" ht="12.75" customHeight="1">
      <c r="A41" s="60"/>
      <c r="B41" s="77" t="s">
        <v>202</v>
      </c>
      <c r="C41" s="60"/>
      <c r="D41" s="26"/>
      <c r="E41" s="15">
        <v>0</v>
      </c>
      <c r="F41" s="26"/>
      <c r="G41" s="15">
        <v>0</v>
      </c>
      <c r="H41" s="26"/>
      <c r="I41" s="15">
        <v>-0.7</v>
      </c>
      <c r="J41" s="26"/>
      <c r="K41" s="15">
        <v>0</v>
      </c>
      <c r="L41" s="26"/>
      <c r="M41" s="15">
        <v>0</v>
      </c>
      <c r="N41" s="26"/>
      <c r="O41" s="15">
        <v>0</v>
      </c>
      <c r="P41" s="15"/>
      <c r="Q41" s="15">
        <v>0</v>
      </c>
      <c r="R41" s="96"/>
      <c r="S41" s="16">
        <v>0</v>
      </c>
      <c r="T41" s="60"/>
      <c r="U41" s="16">
        <v>0</v>
      </c>
      <c r="W41" s="16">
        <v>0</v>
      </c>
    </row>
    <row r="42" spans="1:23" ht="12.75" customHeight="1">
      <c r="A42" s="60"/>
      <c r="B42" s="77" t="s">
        <v>209</v>
      </c>
      <c r="C42" s="60"/>
      <c r="D42" s="26"/>
      <c r="E42" s="15">
        <v>0</v>
      </c>
      <c r="F42" s="26"/>
      <c r="G42" s="116">
        <f>-2-0.6</f>
        <v>-2.6</v>
      </c>
      <c r="H42" s="26"/>
      <c r="I42" s="15">
        <v>0</v>
      </c>
      <c r="J42" s="26"/>
      <c r="K42" s="15">
        <v>0</v>
      </c>
      <c r="L42" s="26"/>
      <c r="M42" s="15">
        <v>0</v>
      </c>
      <c r="N42" s="26"/>
      <c r="O42" s="15">
        <v>0</v>
      </c>
      <c r="P42" s="15"/>
      <c r="Q42" s="15">
        <v>0</v>
      </c>
      <c r="R42" s="96"/>
      <c r="S42" s="16">
        <v>0</v>
      </c>
      <c r="T42" s="60"/>
      <c r="U42" s="16">
        <v>0</v>
      </c>
      <c r="W42" s="16">
        <v>0</v>
      </c>
    </row>
    <row r="43" spans="1:23" ht="12.75" customHeight="1">
      <c r="A43" s="60"/>
      <c r="B43" s="78" t="s">
        <v>236</v>
      </c>
      <c r="C43" s="60"/>
      <c r="D43" s="26"/>
      <c r="E43" s="15">
        <v>0</v>
      </c>
      <c r="F43" s="26"/>
      <c r="G43" s="15">
        <v>0</v>
      </c>
      <c r="H43" s="26"/>
      <c r="I43" s="15">
        <v>0.7</v>
      </c>
      <c r="J43" s="26"/>
      <c r="K43" s="15">
        <v>0</v>
      </c>
      <c r="L43" s="26"/>
      <c r="M43" s="15">
        <v>0</v>
      </c>
      <c r="N43" s="26"/>
      <c r="O43" s="15">
        <v>0</v>
      </c>
      <c r="P43" s="15"/>
      <c r="Q43" s="15">
        <v>0</v>
      </c>
      <c r="R43" s="96"/>
      <c r="S43" s="16">
        <v>0</v>
      </c>
      <c r="T43" s="60"/>
      <c r="U43" s="16">
        <v>0</v>
      </c>
      <c r="W43" s="16">
        <v>0</v>
      </c>
    </row>
    <row r="44" spans="1:23" ht="12.75" customHeight="1">
      <c r="A44" s="60"/>
      <c r="B44" s="77" t="s">
        <v>191</v>
      </c>
      <c r="C44" s="60"/>
      <c r="D44" s="26"/>
      <c r="E44" s="16">
        <v>0</v>
      </c>
      <c r="F44" s="26"/>
      <c r="G44" s="16">
        <v>1.4</v>
      </c>
      <c r="H44" s="26"/>
      <c r="I44" s="16">
        <v>0</v>
      </c>
      <c r="J44" s="26"/>
      <c r="K44" s="16">
        <v>0</v>
      </c>
      <c r="L44" s="26"/>
      <c r="M44" s="16">
        <f>-1.5+0.9-2.2+1.3</f>
        <v>-1.5000000000000002</v>
      </c>
      <c r="N44" s="26"/>
      <c r="O44" s="16">
        <v>0</v>
      </c>
      <c r="P44" s="16"/>
      <c r="Q44" s="15">
        <v>0</v>
      </c>
      <c r="R44" s="96"/>
      <c r="S44" s="16">
        <v>0</v>
      </c>
      <c r="T44" s="60"/>
      <c r="U44" s="16">
        <v>0</v>
      </c>
      <c r="W44" s="16">
        <v>0</v>
      </c>
    </row>
    <row r="45" spans="1:23" ht="12.75" customHeight="1">
      <c r="A45" s="60"/>
      <c r="B45" s="77" t="s">
        <v>231</v>
      </c>
      <c r="C45" s="60"/>
      <c r="D45" s="26"/>
      <c r="E45" s="16">
        <v>0</v>
      </c>
      <c r="F45" s="26"/>
      <c r="G45" s="16">
        <v>0</v>
      </c>
      <c r="H45" s="26"/>
      <c r="I45" s="16">
        <v>0</v>
      </c>
      <c r="J45" s="26"/>
      <c r="K45" s="16">
        <v>0</v>
      </c>
      <c r="L45" s="26"/>
      <c r="M45" s="16">
        <v>0</v>
      </c>
      <c r="N45" s="26"/>
      <c r="O45" s="16">
        <v>0</v>
      </c>
      <c r="P45" s="16"/>
      <c r="Q45" s="15">
        <v>0.8</v>
      </c>
      <c r="R45" s="96"/>
      <c r="S45" s="16">
        <v>0</v>
      </c>
      <c r="T45" s="60"/>
      <c r="U45" s="16">
        <v>0</v>
      </c>
      <c r="W45" s="16">
        <v>0</v>
      </c>
    </row>
    <row r="46" spans="1:23" ht="12.75" customHeight="1">
      <c r="A46" s="60"/>
      <c r="B46" s="78"/>
      <c r="C46" s="77" t="s">
        <v>232</v>
      </c>
      <c r="D46" s="26"/>
      <c r="E46" s="16">
        <v>0</v>
      </c>
      <c r="F46" s="26"/>
      <c r="G46" s="16">
        <v>0</v>
      </c>
      <c r="H46" s="26"/>
      <c r="I46" s="16">
        <v>0</v>
      </c>
      <c r="J46" s="26"/>
      <c r="K46" s="16">
        <v>0</v>
      </c>
      <c r="L46" s="26"/>
      <c r="M46" s="16">
        <v>0</v>
      </c>
      <c r="N46" s="26"/>
      <c r="O46" s="16">
        <v>0</v>
      </c>
      <c r="P46" s="16"/>
      <c r="Q46" s="15">
        <v>-0.4</v>
      </c>
      <c r="R46" s="96"/>
      <c r="S46" s="16">
        <v>0</v>
      </c>
      <c r="T46" s="60"/>
      <c r="U46" s="16">
        <v>0</v>
      </c>
      <c r="W46" s="16">
        <v>0</v>
      </c>
    </row>
    <row r="47" spans="1:23" ht="12.75" customHeight="1">
      <c r="A47" s="60"/>
      <c r="B47" s="77" t="s">
        <v>122</v>
      </c>
      <c r="C47" s="60"/>
      <c r="D47" s="26"/>
      <c r="E47" s="16">
        <v>0</v>
      </c>
      <c r="F47" s="26"/>
      <c r="G47" s="16">
        <v>3.1</v>
      </c>
      <c r="H47" s="26"/>
      <c r="I47" s="16">
        <v>-0.7</v>
      </c>
      <c r="J47" s="26"/>
      <c r="K47" s="16">
        <v>-0.6</v>
      </c>
      <c r="L47" s="26"/>
      <c r="M47" s="16">
        <v>0.6</v>
      </c>
      <c r="N47" s="26"/>
      <c r="O47" s="27">
        <f>0.4+1</f>
        <v>1.4</v>
      </c>
      <c r="P47" s="16"/>
      <c r="Q47" s="15">
        <v>1.7</v>
      </c>
      <c r="R47" s="96"/>
      <c r="S47" s="16">
        <v>0</v>
      </c>
      <c r="T47" s="60"/>
      <c r="U47" s="16">
        <v>0</v>
      </c>
      <c r="W47" s="16">
        <v>0</v>
      </c>
    </row>
    <row r="48" spans="1:23" ht="12.75" customHeight="1">
      <c r="A48" s="60"/>
      <c r="B48" s="77" t="s">
        <v>147</v>
      </c>
      <c r="C48" s="60"/>
      <c r="D48" s="26"/>
      <c r="E48" s="15">
        <v>0</v>
      </c>
      <c r="F48" s="26"/>
      <c r="G48" s="15">
        <v>0</v>
      </c>
      <c r="H48" s="26"/>
      <c r="I48" s="15">
        <v>0</v>
      </c>
      <c r="J48" s="26"/>
      <c r="K48" s="15">
        <v>1.6</v>
      </c>
      <c r="L48" s="26"/>
      <c r="M48" s="15">
        <v>0.8</v>
      </c>
      <c r="N48" s="26"/>
      <c r="O48" s="15">
        <v>0</v>
      </c>
      <c r="P48" s="15"/>
      <c r="Q48" s="15">
        <v>0</v>
      </c>
      <c r="R48" s="96"/>
      <c r="S48" s="15">
        <v>0</v>
      </c>
      <c r="T48" s="60"/>
      <c r="U48" s="15">
        <v>0</v>
      </c>
      <c r="W48" s="16">
        <v>0</v>
      </c>
    </row>
    <row r="49" spans="1:23" ht="12.75" customHeight="1">
      <c r="A49" s="60"/>
      <c r="B49" s="77" t="s">
        <v>190</v>
      </c>
      <c r="C49" s="60"/>
      <c r="D49" s="26"/>
      <c r="E49" s="15">
        <v>0</v>
      </c>
      <c r="F49" s="26"/>
      <c r="G49" s="15">
        <v>0</v>
      </c>
      <c r="H49" s="26"/>
      <c r="I49" s="15">
        <v>0</v>
      </c>
      <c r="J49" s="26"/>
      <c r="K49" s="15">
        <v>0</v>
      </c>
      <c r="L49" s="26"/>
      <c r="M49" s="15">
        <v>0</v>
      </c>
      <c r="N49" s="26"/>
      <c r="O49" s="15">
        <v>0</v>
      </c>
      <c r="P49" s="15"/>
      <c r="Q49" s="119">
        <v>-0.3</v>
      </c>
      <c r="R49" s="96"/>
      <c r="S49" s="16">
        <v>0</v>
      </c>
      <c r="T49" s="60"/>
      <c r="U49" s="16">
        <v>0</v>
      </c>
      <c r="W49" s="16">
        <v>0</v>
      </c>
    </row>
    <row r="50" spans="1:23" ht="12.75" customHeight="1">
      <c r="A50" s="60"/>
      <c r="B50" s="77" t="s">
        <v>196</v>
      </c>
      <c r="C50" s="60"/>
      <c r="D50" s="26"/>
      <c r="E50" s="15">
        <v>0</v>
      </c>
      <c r="F50" s="26"/>
      <c r="G50" s="15">
        <v>0</v>
      </c>
      <c r="H50" s="26"/>
      <c r="I50" s="15">
        <v>2</v>
      </c>
      <c r="J50" s="26"/>
      <c r="K50" s="15">
        <v>0</v>
      </c>
      <c r="L50" s="26"/>
      <c r="M50" s="15">
        <v>2</v>
      </c>
      <c r="N50" s="26"/>
      <c r="O50" s="15">
        <v>0</v>
      </c>
      <c r="P50" s="15"/>
      <c r="Q50" s="15">
        <v>0</v>
      </c>
      <c r="R50" s="96"/>
      <c r="S50" s="15">
        <v>0</v>
      </c>
      <c r="T50" s="60"/>
      <c r="U50" s="15">
        <v>0</v>
      </c>
      <c r="W50" s="16">
        <v>0</v>
      </c>
    </row>
    <row r="51" spans="1:23" ht="12.75" customHeight="1">
      <c r="A51" s="60"/>
      <c r="B51" s="140" t="s">
        <v>197</v>
      </c>
      <c r="E51" s="15">
        <v>0</v>
      </c>
      <c r="F51" s="26"/>
      <c r="G51" s="15">
        <v>0</v>
      </c>
      <c r="H51" s="26"/>
      <c r="I51" s="15">
        <v>-0.7</v>
      </c>
      <c r="J51" s="26"/>
      <c r="K51" s="15">
        <v>0</v>
      </c>
      <c r="L51" s="26"/>
      <c r="M51" s="15">
        <v>0</v>
      </c>
      <c r="N51" s="26"/>
      <c r="O51" s="15">
        <v>0</v>
      </c>
      <c r="P51" s="15"/>
      <c r="Q51" s="15">
        <v>0</v>
      </c>
      <c r="R51" s="96"/>
      <c r="S51" s="16">
        <v>0</v>
      </c>
      <c r="T51" s="60"/>
      <c r="U51" s="16">
        <v>0</v>
      </c>
      <c r="W51" s="16">
        <v>0</v>
      </c>
    </row>
    <row r="52" spans="1:23" ht="12.75" customHeight="1">
      <c r="A52" s="60"/>
      <c r="B52" s="78" t="s">
        <v>148</v>
      </c>
      <c r="C52" s="60"/>
      <c r="D52" s="26"/>
      <c r="E52" s="15">
        <v>0</v>
      </c>
      <c r="F52" s="26"/>
      <c r="G52" s="15">
        <v>0</v>
      </c>
      <c r="H52" s="26"/>
      <c r="I52" s="15">
        <v>0</v>
      </c>
      <c r="J52" s="26"/>
      <c r="K52" s="15">
        <v>-0.2</v>
      </c>
      <c r="L52" s="26"/>
      <c r="M52" s="15">
        <v>0</v>
      </c>
      <c r="N52" s="26"/>
      <c r="O52" s="15">
        <v>0</v>
      </c>
      <c r="P52" s="15"/>
      <c r="Q52" s="15">
        <v>0</v>
      </c>
      <c r="R52" s="96"/>
      <c r="S52" s="16">
        <v>0</v>
      </c>
      <c r="T52" s="60"/>
      <c r="U52" s="16">
        <v>0</v>
      </c>
      <c r="W52" s="16">
        <v>0</v>
      </c>
    </row>
    <row r="53" spans="1:23" ht="12.75" customHeight="1">
      <c r="A53" s="60"/>
      <c r="B53" s="77" t="s">
        <v>224</v>
      </c>
      <c r="C53" s="60"/>
      <c r="D53" s="26"/>
      <c r="E53" s="15">
        <v>0</v>
      </c>
      <c r="F53" s="26"/>
      <c r="G53" s="15">
        <v>0</v>
      </c>
      <c r="H53" s="26"/>
      <c r="I53" s="116">
        <f>5.7+0.9</f>
        <v>6.6000000000000005</v>
      </c>
      <c r="J53" s="26"/>
      <c r="K53" s="15">
        <v>0</v>
      </c>
      <c r="L53" s="26"/>
      <c r="M53" s="15">
        <v>0</v>
      </c>
      <c r="N53" s="26"/>
      <c r="O53" s="15">
        <v>0</v>
      </c>
      <c r="P53" s="15"/>
      <c r="Q53" s="15">
        <v>0</v>
      </c>
      <c r="R53" s="96"/>
      <c r="S53" s="15">
        <v>0</v>
      </c>
      <c r="T53" s="60"/>
      <c r="U53" s="15">
        <v>0</v>
      </c>
      <c r="W53" s="16">
        <v>0</v>
      </c>
    </row>
    <row r="54" spans="1:23" ht="12.75" customHeight="1">
      <c r="A54" s="60"/>
      <c r="B54" s="78" t="s">
        <v>223</v>
      </c>
      <c r="C54" s="60"/>
      <c r="D54" s="26"/>
      <c r="E54" s="15">
        <v>0</v>
      </c>
      <c r="F54" s="26"/>
      <c r="G54" s="15">
        <v>0</v>
      </c>
      <c r="H54" s="26"/>
      <c r="I54" s="15">
        <v>0</v>
      </c>
      <c r="J54" s="26"/>
      <c r="K54" s="15">
        <v>0</v>
      </c>
      <c r="L54" s="26"/>
      <c r="M54" s="15">
        <v>0</v>
      </c>
      <c r="N54" s="26"/>
      <c r="O54" s="15">
        <v>0</v>
      </c>
      <c r="P54" s="15"/>
      <c r="Q54" s="15">
        <v>-0.3</v>
      </c>
      <c r="R54" s="96"/>
      <c r="S54" s="16">
        <v>0</v>
      </c>
      <c r="T54" s="60"/>
      <c r="U54" s="16">
        <v>0</v>
      </c>
      <c r="W54" s="16">
        <v>0</v>
      </c>
    </row>
    <row r="55" spans="1:23" ht="12.75" customHeight="1">
      <c r="A55" s="60"/>
      <c r="B55" s="77" t="s">
        <v>187</v>
      </c>
      <c r="C55" s="60"/>
      <c r="D55" s="26"/>
      <c r="E55" s="15">
        <v>0</v>
      </c>
      <c r="F55" s="26"/>
      <c r="G55" s="15">
        <v>0</v>
      </c>
      <c r="H55" s="26"/>
      <c r="I55" s="15">
        <v>0</v>
      </c>
      <c r="J55" s="26"/>
      <c r="K55" s="15">
        <v>0</v>
      </c>
      <c r="L55" s="26"/>
      <c r="M55" s="15">
        <v>0</v>
      </c>
      <c r="N55" s="26"/>
      <c r="O55" s="15">
        <v>1.2</v>
      </c>
      <c r="P55" s="15"/>
      <c r="Q55" s="15">
        <v>0</v>
      </c>
      <c r="R55" s="96"/>
      <c r="S55" s="16">
        <v>0</v>
      </c>
      <c r="T55" s="60"/>
      <c r="U55" s="16">
        <v>0</v>
      </c>
      <c r="W55" s="16">
        <v>0</v>
      </c>
    </row>
    <row r="56" spans="1:23" ht="12.75" customHeight="1">
      <c r="A56" s="60"/>
      <c r="B56" s="77" t="s">
        <v>119</v>
      </c>
      <c r="C56" s="60"/>
      <c r="D56" s="26"/>
      <c r="E56" s="15">
        <v>0</v>
      </c>
      <c r="F56" s="26"/>
      <c r="G56" s="15">
        <v>0</v>
      </c>
      <c r="H56" s="26"/>
      <c r="I56" s="15">
        <v>0</v>
      </c>
      <c r="J56" s="26"/>
      <c r="K56" s="15">
        <v>0</v>
      </c>
      <c r="L56" s="26"/>
      <c r="M56" s="15">
        <v>0</v>
      </c>
      <c r="N56" s="26"/>
      <c r="O56" s="15">
        <v>2</v>
      </c>
      <c r="P56" s="15"/>
      <c r="Q56" s="15">
        <v>0</v>
      </c>
      <c r="R56" s="96"/>
      <c r="S56" s="16">
        <v>0</v>
      </c>
      <c r="T56" s="60"/>
      <c r="U56" s="16">
        <v>0</v>
      </c>
      <c r="W56" s="16">
        <v>0</v>
      </c>
    </row>
    <row r="57" spans="1:23" ht="12.75" customHeight="1">
      <c r="A57" s="60"/>
      <c r="B57" s="77" t="s">
        <v>123</v>
      </c>
      <c r="C57" s="60"/>
      <c r="D57" s="26"/>
      <c r="E57" s="15">
        <v>0</v>
      </c>
      <c r="F57" s="26"/>
      <c r="G57" s="15">
        <v>0</v>
      </c>
      <c r="H57" s="26"/>
      <c r="I57" s="15">
        <v>0</v>
      </c>
      <c r="J57" s="26"/>
      <c r="K57" s="15">
        <v>0</v>
      </c>
      <c r="L57" s="26"/>
      <c r="M57" s="15">
        <v>0</v>
      </c>
      <c r="N57" s="26"/>
      <c r="O57" s="15">
        <v>2.5</v>
      </c>
      <c r="P57" s="15"/>
      <c r="Q57" s="15">
        <v>0</v>
      </c>
      <c r="R57" s="96"/>
      <c r="S57" s="16">
        <v>0</v>
      </c>
      <c r="T57" s="60"/>
      <c r="U57" s="16">
        <v>0</v>
      </c>
      <c r="W57" s="16">
        <v>0</v>
      </c>
    </row>
    <row r="58" spans="1:23" ht="12.75" customHeight="1">
      <c r="A58" s="60"/>
      <c r="B58" s="78" t="s">
        <v>204</v>
      </c>
      <c r="C58" s="60"/>
      <c r="D58" s="26"/>
      <c r="E58" s="15">
        <v>0</v>
      </c>
      <c r="F58" s="26"/>
      <c r="G58" s="15">
        <v>0</v>
      </c>
      <c r="H58" s="26"/>
      <c r="I58" s="15">
        <v>-3.5</v>
      </c>
      <c r="J58" s="26"/>
      <c r="K58" s="15">
        <v>0</v>
      </c>
      <c r="L58" s="26"/>
      <c r="M58" s="15">
        <v>0</v>
      </c>
      <c r="N58" s="26"/>
      <c r="O58" s="15">
        <v>0</v>
      </c>
      <c r="P58" s="15"/>
      <c r="Q58" s="15">
        <v>0</v>
      </c>
      <c r="R58" s="96"/>
      <c r="S58" s="16">
        <v>0</v>
      </c>
      <c r="T58" s="60"/>
      <c r="U58" s="16">
        <v>0</v>
      </c>
      <c r="W58" s="16">
        <v>0</v>
      </c>
    </row>
    <row r="59" spans="1:23" ht="12.75" customHeight="1">
      <c r="A59" s="60"/>
      <c r="B59" s="78" t="s">
        <v>205</v>
      </c>
      <c r="C59" s="60"/>
      <c r="D59" s="26"/>
      <c r="E59" s="15">
        <v>0</v>
      </c>
      <c r="F59" s="26"/>
      <c r="G59" s="15">
        <v>0</v>
      </c>
      <c r="H59" s="26"/>
      <c r="I59" s="15">
        <v>1.8</v>
      </c>
      <c r="J59" s="26"/>
      <c r="K59" s="15">
        <v>0</v>
      </c>
      <c r="L59" s="26"/>
      <c r="M59" s="15">
        <v>0</v>
      </c>
      <c r="N59" s="26"/>
      <c r="O59" s="15">
        <v>0</v>
      </c>
      <c r="P59" s="15"/>
      <c r="Q59" s="15">
        <v>0</v>
      </c>
      <c r="R59" s="96"/>
      <c r="S59" s="16">
        <v>0</v>
      </c>
      <c r="T59" s="60"/>
      <c r="U59" s="16">
        <v>0</v>
      </c>
      <c r="W59" s="16">
        <v>0</v>
      </c>
    </row>
    <row r="60" spans="1:23" ht="12.75" customHeight="1">
      <c r="A60" s="60"/>
      <c r="B60" s="77" t="s">
        <v>64</v>
      </c>
      <c r="C60" s="60"/>
      <c r="D60" s="12"/>
      <c r="E60" s="16">
        <v>0</v>
      </c>
      <c r="F60" s="12"/>
      <c r="G60" s="16">
        <v>0</v>
      </c>
      <c r="H60" s="12"/>
      <c r="I60" s="16">
        <v>0</v>
      </c>
      <c r="J60" s="12"/>
      <c r="K60" s="16">
        <v>0</v>
      </c>
      <c r="L60" s="12"/>
      <c r="M60" s="16">
        <v>0</v>
      </c>
      <c r="N60" s="12"/>
      <c r="O60" s="16">
        <v>0</v>
      </c>
      <c r="P60" s="16"/>
      <c r="Q60" s="16">
        <v>0</v>
      </c>
      <c r="R60" s="66"/>
      <c r="S60" s="16">
        <v>2</v>
      </c>
      <c r="T60" s="60"/>
      <c r="U60" s="16">
        <v>2</v>
      </c>
      <c r="W60" s="16">
        <v>2</v>
      </c>
    </row>
    <row r="61" spans="1:23" ht="12.75" customHeight="1">
      <c r="A61" s="60"/>
      <c r="B61" s="77" t="s">
        <v>81</v>
      </c>
      <c r="C61" s="60"/>
      <c r="D61" s="60"/>
      <c r="E61" s="16">
        <v>0</v>
      </c>
      <c r="F61" s="60"/>
      <c r="G61" s="16">
        <v>0</v>
      </c>
      <c r="H61" s="60"/>
      <c r="I61" s="16">
        <v>0</v>
      </c>
      <c r="J61" s="60"/>
      <c r="K61" s="16">
        <v>0</v>
      </c>
      <c r="L61" s="60"/>
      <c r="M61" s="16">
        <v>0</v>
      </c>
      <c r="N61" s="60"/>
      <c r="O61" s="16">
        <v>0</v>
      </c>
      <c r="P61" s="16"/>
      <c r="Q61" s="15">
        <v>9</v>
      </c>
      <c r="R61" s="60"/>
      <c r="S61" s="16">
        <v>0</v>
      </c>
      <c r="T61" s="60"/>
      <c r="U61" s="16">
        <v>0</v>
      </c>
      <c r="W61" s="16">
        <v>0</v>
      </c>
    </row>
    <row r="62" spans="1:23" ht="12.75" customHeight="1">
      <c r="A62" s="60"/>
      <c r="B62" s="78" t="s">
        <v>211</v>
      </c>
      <c r="C62" s="60"/>
      <c r="D62" s="60"/>
      <c r="E62" s="16">
        <v>0</v>
      </c>
      <c r="F62" s="60"/>
      <c r="G62" s="16">
        <v>1.4</v>
      </c>
      <c r="H62" s="60"/>
      <c r="I62" s="16">
        <v>0</v>
      </c>
      <c r="J62" s="60"/>
      <c r="K62" s="16">
        <v>0</v>
      </c>
      <c r="L62" s="60"/>
      <c r="M62" s="16">
        <v>0</v>
      </c>
      <c r="N62" s="60"/>
      <c r="O62" s="16">
        <v>0</v>
      </c>
      <c r="P62" s="16"/>
      <c r="Q62" s="15">
        <v>0</v>
      </c>
      <c r="R62" s="60"/>
      <c r="S62" s="16">
        <v>0</v>
      </c>
      <c r="T62" s="60"/>
      <c r="U62" s="16">
        <v>0</v>
      </c>
      <c r="W62" s="16">
        <v>0</v>
      </c>
    </row>
    <row r="63" spans="1:23" ht="12.75" customHeight="1">
      <c r="A63" s="60"/>
      <c r="B63" s="77" t="s">
        <v>104</v>
      </c>
      <c r="C63" s="60"/>
      <c r="D63" s="12"/>
      <c r="E63" s="16">
        <v>0</v>
      </c>
      <c r="F63" s="12"/>
      <c r="G63" s="16">
        <v>0</v>
      </c>
      <c r="H63" s="12"/>
      <c r="I63" s="16">
        <v>0</v>
      </c>
      <c r="J63" s="12"/>
      <c r="K63" s="16">
        <v>0</v>
      </c>
      <c r="L63" s="12"/>
      <c r="M63" s="16">
        <v>0</v>
      </c>
      <c r="N63" s="12"/>
      <c r="O63" s="16">
        <v>0</v>
      </c>
      <c r="P63" s="16"/>
      <c r="Q63" s="16">
        <v>-0.6</v>
      </c>
      <c r="R63" s="66"/>
      <c r="S63" s="16">
        <v>0</v>
      </c>
      <c r="T63" s="60"/>
      <c r="U63" s="16">
        <v>0</v>
      </c>
      <c r="W63" s="16">
        <v>0</v>
      </c>
    </row>
    <row r="64" spans="1:23" ht="12.75" customHeight="1">
      <c r="A64" s="60"/>
      <c r="B64" s="77" t="s">
        <v>194</v>
      </c>
      <c r="C64" s="60"/>
      <c r="D64" s="12"/>
      <c r="E64" s="16">
        <v>0</v>
      </c>
      <c r="F64" s="12"/>
      <c r="G64" s="16">
        <v>0</v>
      </c>
      <c r="H64" s="12"/>
      <c r="I64" s="16">
        <v>0</v>
      </c>
      <c r="J64" s="12"/>
      <c r="K64" s="16">
        <v>0</v>
      </c>
      <c r="L64" s="12"/>
      <c r="M64" s="16">
        <v>0</v>
      </c>
      <c r="N64" s="12"/>
      <c r="O64" s="16">
        <v>-2.2000000000000002</v>
      </c>
      <c r="P64" s="16"/>
      <c r="Q64" s="16">
        <v>0</v>
      </c>
      <c r="R64" s="66"/>
      <c r="S64" s="16">
        <v>0</v>
      </c>
      <c r="T64" s="60"/>
      <c r="U64" s="16">
        <v>0</v>
      </c>
      <c r="W64" s="16">
        <v>0</v>
      </c>
    </row>
    <row r="65" spans="1:23">
      <c r="A65" s="60"/>
      <c r="B65" s="77" t="s">
        <v>226</v>
      </c>
      <c r="C65" s="60"/>
      <c r="D65" s="60"/>
      <c r="E65" s="16">
        <v>0</v>
      </c>
      <c r="F65" s="60"/>
      <c r="G65" s="16">
        <v>0</v>
      </c>
      <c r="H65" s="60"/>
      <c r="I65" s="16">
        <v>0</v>
      </c>
      <c r="J65" s="60"/>
      <c r="K65" s="16">
        <v>0</v>
      </c>
      <c r="L65" s="60"/>
      <c r="M65" s="16">
        <v>0</v>
      </c>
      <c r="N65" s="60"/>
      <c r="O65" s="16">
        <v>0</v>
      </c>
      <c r="P65" s="16"/>
      <c r="Q65" s="15">
        <f>-2.3-0.6</f>
        <v>-2.9</v>
      </c>
      <c r="R65" s="60"/>
      <c r="S65" s="16">
        <v>0</v>
      </c>
      <c r="T65" s="60"/>
      <c r="U65" s="16">
        <v>0</v>
      </c>
      <c r="W65" s="16">
        <v>0</v>
      </c>
    </row>
    <row r="66" spans="1:23">
      <c r="A66" s="60"/>
      <c r="C66" s="77" t="s">
        <v>227</v>
      </c>
      <c r="D66" s="60"/>
      <c r="E66" s="16">
        <v>0</v>
      </c>
      <c r="F66" s="60"/>
      <c r="G66" s="16">
        <v>0</v>
      </c>
      <c r="H66" s="60"/>
      <c r="I66" s="16">
        <v>0</v>
      </c>
      <c r="J66" s="60"/>
      <c r="K66" s="16">
        <v>0</v>
      </c>
      <c r="L66" s="60"/>
      <c r="M66" s="16">
        <v>0</v>
      </c>
      <c r="N66" s="60"/>
      <c r="O66" s="16">
        <v>0</v>
      </c>
      <c r="P66" s="16"/>
      <c r="Q66" s="15">
        <v>0.6</v>
      </c>
      <c r="R66" s="60"/>
      <c r="S66" s="16">
        <v>0</v>
      </c>
      <c r="T66" s="60"/>
      <c r="U66" s="16">
        <v>0</v>
      </c>
      <c r="W66" s="16">
        <v>0</v>
      </c>
    </row>
    <row r="67" spans="1:23">
      <c r="A67" s="60"/>
      <c r="B67" s="77" t="s">
        <v>103</v>
      </c>
      <c r="C67" s="60"/>
      <c r="D67" s="60"/>
      <c r="E67" s="16">
        <v>0</v>
      </c>
      <c r="F67" s="60"/>
      <c r="G67" s="16">
        <v>0</v>
      </c>
      <c r="H67" s="60"/>
      <c r="I67" s="16">
        <v>0</v>
      </c>
      <c r="J67" s="60"/>
      <c r="K67" s="16">
        <v>0</v>
      </c>
      <c r="L67" s="60"/>
      <c r="M67" s="16">
        <v>0</v>
      </c>
      <c r="N67" s="60"/>
      <c r="O67" s="16">
        <v>0</v>
      </c>
      <c r="P67" s="16"/>
      <c r="Q67" s="15">
        <v>-0.3</v>
      </c>
      <c r="R67" s="60"/>
      <c r="S67" s="16">
        <v>0</v>
      </c>
      <c r="T67" s="60"/>
      <c r="U67" s="16">
        <v>0</v>
      </c>
      <c r="W67" s="16">
        <v>0</v>
      </c>
    </row>
    <row r="68" spans="1:23">
      <c r="A68" s="60"/>
      <c r="B68" s="78" t="s">
        <v>220</v>
      </c>
      <c r="C68" s="60"/>
      <c r="D68" s="26"/>
      <c r="E68" s="30">
        <v>0</v>
      </c>
      <c r="F68" s="26"/>
      <c r="G68" s="30">
        <v>0</v>
      </c>
      <c r="H68" s="26"/>
      <c r="I68" s="30">
        <v>0</v>
      </c>
      <c r="J68" s="26"/>
      <c r="K68" s="30">
        <v>0</v>
      </c>
      <c r="L68" s="26"/>
      <c r="M68" s="30">
        <v>0</v>
      </c>
      <c r="N68" s="26"/>
      <c r="O68" s="30">
        <v>-0.3</v>
      </c>
      <c r="P68" s="15"/>
      <c r="Q68" s="30">
        <v>0</v>
      </c>
      <c r="R68" s="96"/>
      <c r="S68" s="30">
        <v>0</v>
      </c>
      <c r="T68" s="60"/>
      <c r="U68" s="30">
        <v>0</v>
      </c>
      <c r="W68" s="30">
        <v>0</v>
      </c>
    </row>
    <row r="69" spans="1:23" ht="3.9" customHeight="1">
      <c r="A69" s="60"/>
      <c r="B69" s="60"/>
      <c r="C69" s="60"/>
      <c r="D69" s="12"/>
      <c r="E69" s="26"/>
      <c r="F69" s="12"/>
      <c r="G69" s="26"/>
      <c r="H69" s="12"/>
      <c r="I69" s="26"/>
      <c r="J69" s="12"/>
      <c r="K69" s="26"/>
      <c r="L69" s="12"/>
      <c r="M69" s="26"/>
      <c r="N69" s="12"/>
      <c r="O69" s="26"/>
      <c r="P69" s="26"/>
      <c r="Q69" s="26"/>
      <c r="R69" s="60"/>
      <c r="S69" s="26"/>
      <c r="T69" s="60"/>
      <c r="U69" s="26"/>
      <c r="W69" s="26"/>
    </row>
    <row r="70" spans="1:23" ht="13.8" thickBot="1">
      <c r="A70" s="60"/>
      <c r="B70" s="60"/>
      <c r="C70" s="79" t="s">
        <v>66</v>
      </c>
      <c r="D70" s="20"/>
      <c r="E70" s="33">
        <f>SUM(E9:E68)</f>
        <v>34</v>
      </c>
      <c r="F70" s="20"/>
      <c r="G70" s="33">
        <f>SUM(G9:G68)</f>
        <v>5.8000000000000007</v>
      </c>
      <c r="H70" s="20"/>
      <c r="I70" s="33">
        <f>SUM(I9:I68)</f>
        <v>10.400000000000002</v>
      </c>
      <c r="J70" s="20"/>
      <c r="K70" s="33">
        <f>SUM(K9:K68)</f>
        <v>3.1999999999999997</v>
      </c>
      <c r="L70" s="20"/>
      <c r="M70" s="33">
        <f>SUM(M9:M68)</f>
        <v>13.5</v>
      </c>
      <c r="N70" s="20"/>
      <c r="O70" s="33">
        <f>SUM(O9:O68)</f>
        <v>27.8</v>
      </c>
      <c r="P70" s="36"/>
      <c r="Q70" s="33">
        <f>SUM(Q9:Q68)</f>
        <v>19.099999999999998</v>
      </c>
      <c r="R70" s="60"/>
      <c r="S70" s="33">
        <f>SUM(S9:S68)</f>
        <v>7</v>
      </c>
      <c r="T70" s="75"/>
      <c r="U70" s="33">
        <f>SUM(U9:U68)</f>
        <v>9.5</v>
      </c>
      <c r="W70" s="33">
        <f>SUM(W9:W68)</f>
        <v>9.5</v>
      </c>
    </row>
    <row r="71" spans="1:23" ht="13.8" thickTop="1">
      <c r="A71" s="60"/>
      <c r="B71" s="60"/>
      <c r="C71" s="6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6"/>
      <c r="P71" s="36"/>
      <c r="Q71" s="36"/>
      <c r="R71" s="60"/>
      <c r="S71" s="36"/>
      <c r="T71" s="60"/>
    </row>
    <row r="72" spans="1:23">
      <c r="A72" s="44" t="str">
        <f ca="1">CELL("Filename")</f>
        <v>L:\Historical Financial Info\[DetailInc.xls]NNG-Other</v>
      </c>
      <c r="B72" s="60"/>
      <c r="C72" s="6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60"/>
      <c r="W72" s="124">
        <f ca="1">NOW()</f>
        <v>36836.473603935185</v>
      </c>
    </row>
  </sheetData>
  <printOptions horizontalCentered="1"/>
  <pageMargins left="0.5" right="0.5" top="0.5" bottom="0.25" header="0" footer="0"/>
  <pageSetup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8"/>
  <sheetViews>
    <sheetView topLeftCell="A6" zoomScaleNormal="100" workbookViewId="0">
      <pane xSplit="4" ySplit="2" topLeftCell="H8" activePane="bottomRight" state="frozen"/>
      <selection activeCell="A6" sqref="A6"/>
      <selection pane="topRight" activeCell="E6" sqref="E6"/>
      <selection pane="bottomLeft" activeCell="A8" sqref="A8"/>
      <selection pane="bottomRight" activeCell="R21" sqref="R21"/>
    </sheetView>
  </sheetViews>
  <sheetFormatPr defaultColWidth="8.109375" defaultRowHeight="13.2"/>
  <cols>
    <col min="1" max="2" width="1.5546875" style="4" customWidth="1"/>
    <col min="3" max="3" width="35.6640625" style="4" customWidth="1"/>
    <col min="4" max="4" width="5.6640625" style="4" customWidth="1"/>
    <col min="5" max="5" width="8.6640625" style="4" customWidth="1"/>
    <col min="6" max="6" width="2.6640625" style="4" customWidth="1"/>
    <col min="7" max="7" width="8.6640625" style="4" customWidth="1"/>
    <col min="8" max="8" width="2.6640625" style="4" customWidth="1"/>
    <col min="9" max="9" width="8.6640625" style="4" customWidth="1"/>
    <col min="10" max="10" width="2.6640625" style="4" customWidth="1"/>
    <col min="11" max="11" width="8.6640625" style="4" customWidth="1"/>
    <col min="12" max="13" width="1.6640625" style="4" customWidth="1"/>
    <col min="14" max="14" width="8.6640625" style="4" customWidth="1"/>
    <col min="15" max="15" width="2.6640625" style="4" customWidth="1"/>
    <col min="16" max="16" width="8.6640625" style="4" customWidth="1"/>
    <col min="17" max="17" width="2.6640625" style="4" customWidth="1"/>
    <col min="18" max="18" width="8.6640625" style="4" customWidth="1"/>
    <col min="19" max="19" width="2.6640625" style="4" customWidth="1"/>
    <col min="20" max="20" width="8.6640625" style="4" customWidth="1"/>
    <col min="21" max="21" width="2.6640625" style="4" customWidth="1"/>
    <col min="22" max="22" width="8.6640625" style="4" customWidth="1"/>
    <col min="23" max="23" width="2.6640625" style="4" customWidth="1"/>
    <col min="24" max="24" width="8.6640625" style="4" customWidth="1"/>
    <col min="25" max="25" width="1.6640625" style="4" customWidth="1"/>
    <col min="26" max="16384" width="8.109375" style="4"/>
  </cols>
  <sheetData>
    <row r="1" spans="1:24" ht="15.75" customHeight="1">
      <c r="A1" s="105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3"/>
      <c r="W1" s="3"/>
      <c r="X1" s="3"/>
    </row>
    <row r="2" spans="1:24" ht="15.75" customHeight="1">
      <c r="A2" s="1" t="str">
        <f>+'NNG Detail NI'!A2</f>
        <v>DETAIL OF NET INCOME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3"/>
      <c r="W2" s="3"/>
      <c r="X2" s="3"/>
    </row>
    <row r="3" spans="1:24" ht="12.75" customHeight="1">
      <c r="A3" s="5" t="str">
        <f>+'NNG Detail NI'!A3</f>
        <v>($ Millions)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</row>
    <row r="4" spans="1:24" ht="12.75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"/>
    </row>
    <row r="5" spans="1:24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"/>
      <c r="S5" s="2"/>
      <c r="T5" s="8"/>
      <c r="U5" s="6"/>
    </row>
    <row r="6" spans="1:24" ht="12.75" customHeight="1">
      <c r="A6" s="6"/>
      <c r="B6" s="6"/>
      <c r="C6" s="6"/>
      <c r="D6" s="9"/>
      <c r="E6" s="67" t="s">
        <v>181</v>
      </c>
      <c r="F6" s="9"/>
      <c r="G6" s="67" t="s">
        <v>182</v>
      </c>
      <c r="H6" s="9"/>
      <c r="I6" s="67" t="s">
        <v>183</v>
      </c>
      <c r="J6" s="9"/>
      <c r="K6" s="68" t="str">
        <f>+'NNG Detail NI'!K6</f>
        <v>1996</v>
      </c>
      <c r="L6" s="68"/>
      <c r="M6" s="9"/>
      <c r="N6" s="68" t="str">
        <f>+'NNG Detail NI'!M6</f>
        <v>1997</v>
      </c>
      <c r="O6" s="9"/>
      <c r="P6" s="68" t="str">
        <f>+'NNG Detail NI'!O6</f>
        <v>1998</v>
      </c>
      <c r="Q6" s="59"/>
      <c r="R6" s="68" t="str">
        <f>+'NNG Detail NI'!Q6</f>
        <v>1999</v>
      </c>
      <c r="S6" s="94"/>
      <c r="T6" s="68">
        <f>+'NNG Detail NI'!S6</f>
        <v>2000</v>
      </c>
      <c r="U6" s="60"/>
      <c r="V6" s="68">
        <f>+'NNG Detail NI'!U6</f>
        <v>2001</v>
      </c>
      <c r="W6" s="57"/>
      <c r="X6" s="68">
        <f>+'NNG Detail NI'!W6</f>
        <v>2002</v>
      </c>
    </row>
    <row r="7" spans="1:24" ht="12.75" customHeight="1">
      <c r="A7" s="6"/>
      <c r="B7" s="6"/>
      <c r="C7" s="6"/>
      <c r="D7" s="10"/>
      <c r="E7" s="72" t="str">
        <f>+'NNG Detail NI'!E7</f>
        <v>Actual</v>
      </c>
      <c r="F7" s="10"/>
      <c r="G7" s="72" t="str">
        <f>+'NNG Detail NI'!G7</f>
        <v>Actual</v>
      </c>
      <c r="H7" s="10"/>
      <c r="I7" s="72" t="str">
        <f>+'NNG Detail NI'!I7</f>
        <v>Actual</v>
      </c>
      <c r="J7" s="10"/>
      <c r="K7" s="72" t="str">
        <f>+'NNG Detail NI'!K7</f>
        <v>Actual</v>
      </c>
      <c r="L7" s="135"/>
      <c r="M7" s="10"/>
      <c r="N7" s="72" t="str">
        <f>+'NNG Detail NI'!M7</f>
        <v>Actual</v>
      </c>
      <c r="O7" s="10"/>
      <c r="P7" s="72" t="str">
        <f>+'NNG Detail NI'!O7</f>
        <v>Actual</v>
      </c>
      <c r="Q7" s="95"/>
      <c r="R7" s="72" t="str">
        <f>+'NNG Detail NI'!Q7</f>
        <v>Actual</v>
      </c>
      <c r="S7" s="60"/>
      <c r="T7" s="72" t="str">
        <f>+'NNG Detail NI'!S7</f>
        <v>Plan</v>
      </c>
      <c r="U7" s="60"/>
      <c r="V7" s="72" t="str">
        <f>+'NNG Detail NI'!U7</f>
        <v>Plan</v>
      </c>
      <c r="W7" s="57"/>
      <c r="X7" s="72" t="str">
        <f>+'NNG Detail NI'!W7</f>
        <v>Plan</v>
      </c>
    </row>
    <row r="8" spans="1:24" ht="12.75" customHeight="1">
      <c r="A8" s="11" t="s">
        <v>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4" ht="12.75" customHeight="1">
      <c r="A9" s="11"/>
      <c r="B9" s="6" t="s">
        <v>141</v>
      </c>
      <c r="C9" s="6"/>
      <c r="D9" s="6"/>
      <c r="E9" s="120">
        <f>177-56.4+56.4</f>
        <v>177</v>
      </c>
      <c r="F9" s="6"/>
      <c r="G9" s="27">
        <f>176-5-56.4+56.4</f>
        <v>171</v>
      </c>
      <c r="H9" s="6"/>
      <c r="I9" s="120">
        <f>160.2-56.4+56.4</f>
        <v>160.19999999999999</v>
      </c>
      <c r="J9" s="6"/>
      <c r="K9" s="27">
        <f>163.7+1.4-3.9</f>
        <v>161.19999999999999</v>
      </c>
      <c r="L9" s="27"/>
      <c r="M9" s="6"/>
      <c r="N9" s="120">
        <f>132.5-21.6</f>
        <v>110.9</v>
      </c>
      <c r="O9" s="6"/>
      <c r="P9" s="120">
        <f>131.9-11.8</f>
        <v>120.10000000000001</v>
      </c>
      <c r="Q9" s="6"/>
      <c r="R9" s="139">
        <f>130.2-11.8</f>
        <v>118.39999999999999</v>
      </c>
      <c r="S9" s="6"/>
      <c r="T9" s="120">
        <f>135.7-11.8</f>
        <v>123.89999999999999</v>
      </c>
      <c r="U9" s="16"/>
      <c r="V9" s="120">
        <f>136.9-9.8</f>
        <v>127.10000000000001</v>
      </c>
      <c r="W9" s="16"/>
      <c r="X9" s="16">
        <v>124.4</v>
      </c>
    </row>
    <row r="10" spans="1:24" ht="12.75" customHeight="1">
      <c r="A10" s="11"/>
      <c r="B10" s="6" t="s">
        <v>142</v>
      </c>
      <c r="C10" s="6"/>
      <c r="D10" s="6"/>
      <c r="E10" s="16">
        <v>16</v>
      </c>
      <c r="F10" s="6"/>
      <c r="G10" s="16">
        <v>15.9</v>
      </c>
      <c r="H10" s="6"/>
      <c r="I10" s="16">
        <v>14.5</v>
      </c>
      <c r="J10" s="6"/>
      <c r="K10" s="16">
        <v>14.8</v>
      </c>
      <c r="L10" s="16"/>
      <c r="M10" s="6"/>
      <c r="N10" s="16">
        <v>10.7</v>
      </c>
      <c r="O10" s="6"/>
      <c r="P10" s="16">
        <v>13.3</v>
      </c>
      <c r="Q10" s="6"/>
      <c r="R10" s="87">
        <v>11.9</v>
      </c>
      <c r="S10" s="6"/>
      <c r="T10" s="16">
        <v>11.4</v>
      </c>
      <c r="U10" s="16"/>
      <c r="V10" s="16">
        <v>12.2</v>
      </c>
      <c r="W10" s="16"/>
      <c r="X10" s="16">
        <v>13.2</v>
      </c>
    </row>
    <row r="11" spans="1:24" ht="12.75" customHeight="1">
      <c r="A11" s="11"/>
      <c r="B11" s="6" t="s">
        <v>3</v>
      </c>
      <c r="C11" s="6"/>
      <c r="D11" s="6"/>
      <c r="E11" s="30">
        <v>0</v>
      </c>
      <c r="F11" s="6"/>
      <c r="G11" s="30">
        <v>0</v>
      </c>
      <c r="H11" s="6"/>
      <c r="I11" s="30">
        <v>0</v>
      </c>
      <c r="J11" s="6"/>
      <c r="K11" s="121">
        <f>-2.6+2.3</f>
        <v>-0.30000000000000027</v>
      </c>
      <c r="L11" s="136"/>
      <c r="M11" s="6"/>
      <c r="N11" s="30">
        <v>0</v>
      </c>
      <c r="O11" s="6"/>
      <c r="P11" s="30">
        <v>0</v>
      </c>
      <c r="Q11" s="6"/>
      <c r="R11" s="30">
        <v>0</v>
      </c>
      <c r="S11" s="6"/>
      <c r="T11" s="30">
        <v>0</v>
      </c>
      <c r="U11" s="16"/>
      <c r="V11" s="30">
        <v>0</v>
      </c>
      <c r="W11" s="16"/>
      <c r="X11" s="30">
        <v>0</v>
      </c>
    </row>
    <row r="12" spans="1:24" ht="3.9" customHeight="1">
      <c r="A12" s="11"/>
      <c r="B12" s="14"/>
      <c r="C12" s="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5"/>
      <c r="S12" s="16"/>
      <c r="T12" s="15"/>
      <c r="U12" s="6"/>
      <c r="V12" s="18"/>
      <c r="W12" s="18"/>
      <c r="X12" s="18"/>
    </row>
    <row r="13" spans="1:24">
      <c r="A13" s="11"/>
      <c r="B13" s="6"/>
      <c r="C13" s="19" t="s">
        <v>2</v>
      </c>
      <c r="D13" s="20"/>
      <c r="E13" s="20">
        <f>SUM(E9:E12)</f>
        <v>193</v>
      </c>
      <c r="F13" s="20"/>
      <c r="G13" s="20">
        <f>SUM(G9:G12)</f>
        <v>186.9</v>
      </c>
      <c r="H13" s="20"/>
      <c r="I13" s="20">
        <f>SUM(I9:I12)</f>
        <v>174.7</v>
      </c>
      <c r="J13" s="20"/>
      <c r="K13" s="20">
        <f>SUM(K9:K12)</f>
        <v>175.7</v>
      </c>
      <c r="L13" s="20"/>
      <c r="M13" s="20"/>
      <c r="N13" s="20">
        <f>SUM(N9:N12)</f>
        <v>121.60000000000001</v>
      </c>
      <c r="O13" s="20"/>
      <c r="P13" s="20">
        <f>SUM(P9:P12)</f>
        <v>133.4</v>
      </c>
      <c r="Q13" s="20"/>
      <c r="R13" s="20">
        <f>SUM(R9:R11)</f>
        <v>130.29999999999998</v>
      </c>
      <c r="S13" s="20"/>
      <c r="T13" s="20">
        <f>SUM(T9:T12)</f>
        <v>135.29999999999998</v>
      </c>
      <c r="U13" s="22"/>
      <c r="V13" s="23">
        <f>SUM(V9:V12)</f>
        <v>139.30000000000001</v>
      </c>
      <c r="W13" s="18"/>
      <c r="X13" s="23">
        <f>SUM(X9:X12)</f>
        <v>137.6</v>
      </c>
    </row>
    <row r="14" spans="1:24" ht="3.9" customHeight="1">
      <c r="A14" s="11"/>
      <c r="B14" s="6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2"/>
      <c r="V14" s="18"/>
      <c r="W14" s="18"/>
      <c r="X14" s="18"/>
    </row>
    <row r="15" spans="1:24">
      <c r="A15" s="11"/>
      <c r="B15" s="14" t="s">
        <v>143</v>
      </c>
      <c r="C15" s="25"/>
      <c r="D15" s="12"/>
      <c r="E15" s="16">
        <v>0</v>
      </c>
      <c r="F15" s="12"/>
      <c r="G15" s="16">
        <v>0</v>
      </c>
      <c r="H15" s="12"/>
      <c r="I15" s="16">
        <v>0</v>
      </c>
      <c r="J15" s="12"/>
      <c r="K15" s="16">
        <v>0</v>
      </c>
      <c r="L15" s="16"/>
      <c r="M15" s="12"/>
      <c r="N15" s="16">
        <v>-0.1</v>
      </c>
      <c r="O15" s="12"/>
      <c r="P15" s="16">
        <v>-0.2</v>
      </c>
      <c r="Q15" s="12"/>
      <c r="R15" s="16">
        <v>-0.1</v>
      </c>
      <c r="S15" s="12"/>
      <c r="T15" s="16">
        <v>-0.2</v>
      </c>
      <c r="U15" s="6"/>
      <c r="V15" s="16">
        <v>-0.1</v>
      </c>
      <c r="W15" s="106"/>
      <c r="X15" s="16">
        <v>-0.2</v>
      </c>
    </row>
    <row r="16" spans="1:24">
      <c r="A16" s="11"/>
      <c r="B16" s="25" t="s">
        <v>3</v>
      </c>
      <c r="C16" s="25"/>
      <c r="D16" s="12"/>
      <c r="E16" s="30">
        <v>0</v>
      </c>
      <c r="F16" s="12"/>
      <c r="G16" s="30">
        <v>0</v>
      </c>
      <c r="H16" s="12"/>
      <c r="I16" s="30">
        <v>0</v>
      </c>
      <c r="J16" s="12"/>
      <c r="K16" s="101">
        <f>0.4-0.4</f>
        <v>0</v>
      </c>
      <c r="L16" s="116"/>
      <c r="M16" s="12"/>
      <c r="N16" s="101">
        <f>+(1.3+0.1)-1.4-0.2</f>
        <v>-0.19999999999999979</v>
      </c>
      <c r="O16" s="12"/>
      <c r="P16" s="101">
        <f>(-0.2+0.2+0.2+0.1)-0.2-0.1</f>
        <v>0</v>
      </c>
      <c r="Q16" s="12"/>
      <c r="R16" s="101">
        <f>(-0.5+0.1)+0.4+0.4</f>
        <v>0.4</v>
      </c>
      <c r="S16" s="12"/>
      <c r="T16" s="30">
        <f>0.3+(-0.3+0.2)</f>
        <v>0.2</v>
      </c>
      <c r="U16" s="6"/>
      <c r="V16" s="107">
        <f>0.2+(-0.3+0.1)</f>
        <v>0</v>
      </c>
      <c r="W16" s="106"/>
      <c r="X16" s="107">
        <f>0.2+(-0.3+0.2)</f>
        <v>0.10000000000000003</v>
      </c>
    </row>
    <row r="17" spans="1:24" ht="3.9" customHeight="1">
      <c r="A17" s="11"/>
      <c r="B17" s="6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18"/>
      <c r="W17" s="18"/>
      <c r="X17" s="18"/>
    </row>
    <row r="18" spans="1:24">
      <c r="A18" s="11"/>
      <c r="B18" s="6"/>
      <c r="C18" s="25" t="s">
        <v>4</v>
      </c>
      <c r="D18" s="12"/>
      <c r="E18" s="12">
        <f>SUM(E13:E16)</f>
        <v>193</v>
      </c>
      <c r="F18" s="12"/>
      <c r="G18" s="12">
        <f>SUM(G13:G16)</f>
        <v>186.9</v>
      </c>
      <c r="H18" s="12"/>
      <c r="I18" s="12">
        <f>SUM(I13:I16)</f>
        <v>174.7</v>
      </c>
      <c r="J18" s="12"/>
      <c r="K18" s="12">
        <f>SUM(K13:K16)</f>
        <v>175.7</v>
      </c>
      <c r="L18" s="12"/>
      <c r="M18" s="12"/>
      <c r="N18" s="12">
        <f>SUM(N13:N16)</f>
        <v>121.30000000000001</v>
      </c>
      <c r="O18" s="12"/>
      <c r="P18" s="12">
        <f>SUM(P13:P16)</f>
        <v>133.20000000000002</v>
      </c>
      <c r="Q18" s="12"/>
      <c r="R18" s="12">
        <f>SUM(R13:R16)</f>
        <v>130.6</v>
      </c>
      <c r="S18" s="12"/>
      <c r="T18" s="12">
        <f>SUM(T13:T16)</f>
        <v>135.29999999999998</v>
      </c>
      <c r="U18" s="22"/>
      <c r="V18" s="28">
        <f>SUM(V13:V16)</f>
        <v>139.20000000000002</v>
      </c>
      <c r="W18" s="18"/>
      <c r="X18" s="28">
        <f>SUM(X13:X16)</f>
        <v>137.5</v>
      </c>
    </row>
    <row r="19" spans="1:24" ht="6" customHeight="1">
      <c r="A19" s="11"/>
      <c r="B19" s="6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18"/>
      <c r="W19" s="18"/>
      <c r="X19" s="18"/>
    </row>
    <row r="20" spans="1:24">
      <c r="A20" s="29" t="s">
        <v>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8"/>
      <c r="W20" s="18"/>
      <c r="X20" s="18"/>
    </row>
    <row r="21" spans="1:24">
      <c r="A21" s="6"/>
      <c r="B21" s="25" t="s">
        <v>6</v>
      </c>
      <c r="C21" s="6"/>
      <c r="D21" s="12"/>
      <c r="E21" s="16">
        <f>-95+12.9+3.6+5+3.8+4.8+7.8</f>
        <v>-57.100000000000009</v>
      </c>
      <c r="F21" s="12"/>
      <c r="G21" s="27">
        <f>-41.2-2.7-3.5-3.6</f>
        <v>-51.000000000000007</v>
      </c>
      <c r="H21" s="12"/>
      <c r="I21" s="27">
        <f>-43.8-6.5-3.5+2+11</f>
        <v>-40.799999999999997</v>
      </c>
      <c r="J21" s="12"/>
      <c r="K21" s="27">
        <f>-14.2-2.3-2-11+0.3+2.2</f>
        <v>-27</v>
      </c>
      <c r="L21" s="27"/>
      <c r="M21" s="12"/>
      <c r="N21" s="27">
        <f>-27.5-1.4+0.3</f>
        <v>-28.599999999999998</v>
      </c>
      <c r="O21" s="12"/>
      <c r="P21" s="27">
        <f>-25.1-2.9</f>
        <v>-28</v>
      </c>
      <c r="Q21" s="12"/>
      <c r="R21" s="27">
        <f>-29.4+0.2+0.2-0.4+0.4+0.2</f>
        <v>-28.8</v>
      </c>
      <c r="S21" s="16"/>
      <c r="T21" s="16">
        <v>-30.5</v>
      </c>
      <c r="U21" s="87"/>
      <c r="V21" s="106">
        <f>-32</f>
        <v>-32</v>
      </c>
      <c r="W21" s="106"/>
      <c r="X21" s="106">
        <f>-32</f>
        <v>-32</v>
      </c>
    </row>
    <row r="22" spans="1:24" ht="12.75" customHeight="1">
      <c r="A22" s="29"/>
      <c r="B22" s="6"/>
      <c r="C22" s="25" t="s">
        <v>7</v>
      </c>
      <c r="D22" s="12"/>
      <c r="E22" s="16">
        <v>-11.5</v>
      </c>
      <c r="F22" s="12"/>
      <c r="G22" s="16">
        <v>-11.5</v>
      </c>
      <c r="H22" s="12"/>
      <c r="I22" s="16">
        <v>-12</v>
      </c>
      <c r="J22" s="12"/>
      <c r="K22" s="16">
        <v>-9.6</v>
      </c>
      <c r="L22" s="16"/>
      <c r="M22" s="12"/>
      <c r="N22" s="27">
        <f>-13.4-0.7</f>
        <v>-14.1</v>
      </c>
      <c r="O22" s="12"/>
      <c r="P22" s="16">
        <v>-10.6</v>
      </c>
      <c r="Q22" s="12"/>
      <c r="R22" s="27">
        <f>-11.1+0.3</f>
        <v>-10.799999999999999</v>
      </c>
      <c r="S22" s="16"/>
      <c r="T22" s="16">
        <v>-12.9</v>
      </c>
      <c r="U22" s="87"/>
      <c r="V22" s="106">
        <f>-12.7</f>
        <v>-12.7</v>
      </c>
      <c r="W22" s="106"/>
      <c r="X22" s="106">
        <f>-12.7</f>
        <v>-12.7</v>
      </c>
    </row>
    <row r="23" spans="1:24" ht="12.75" customHeight="1">
      <c r="A23" s="6"/>
      <c r="B23" s="14" t="s">
        <v>8</v>
      </c>
      <c r="C23" s="6"/>
      <c r="D23" s="12"/>
      <c r="E23" s="16">
        <v>-3.5</v>
      </c>
      <c r="F23" s="12"/>
      <c r="G23" s="16">
        <v>-3.5</v>
      </c>
      <c r="H23" s="12"/>
      <c r="I23" s="16">
        <v>-3.5</v>
      </c>
      <c r="J23" s="12"/>
      <c r="K23" s="16">
        <v>-4</v>
      </c>
      <c r="L23" s="16"/>
      <c r="M23" s="12"/>
      <c r="N23" s="16">
        <v>-3.3</v>
      </c>
      <c r="O23" s="12"/>
      <c r="P23" s="16">
        <v>-4.9000000000000004</v>
      </c>
      <c r="Q23" s="12"/>
      <c r="R23" s="16">
        <v>-3.8</v>
      </c>
      <c r="S23" s="16"/>
      <c r="T23" s="16">
        <v>-4</v>
      </c>
      <c r="U23" s="6"/>
      <c r="V23" s="16">
        <v>-4</v>
      </c>
      <c r="W23" s="18"/>
      <c r="X23" s="16">
        <v>-4</v>
      </c>
    </row>
    <row r="24" spans="1:24" ht="12.75" customHeight="1">
      <c r="A24" s="6"/>
      <c r="B24" s="25" t="s">
        <v>156</v>
      </c>
      <c r="C24" s="6"/>
      <c r="D24" s="12"/>
      <c r="E24" s="27">
        <f>-3.6+1.5</f>
        <v>-2.1</v>
      </c>
      <c r="F24" s="12"/>
      <c r="G24" s="27">
        <f>-4.4+3.8</f>
        <v>-0.60000000000000053</v>
      </c>
      <c r="H24" s="12"/>
      <c r="I24" s="27">
        <f>-5.2+2.3</f>
        <v>-2.9000000000000004</v>
      </c>
      <c r="J24" s="12"/>
      <c r="K24" s="74">
        <f>(-2.3+0.2+0.6+0.1)-7.6-0.9</f>
        <v>-9.9</v>
      </c>
      <c r="L24" s="74"/>
      <c r="M24" s="12"/>
      <c r="N24" s="16">
        <v>0</v>
      </c>
      <c r="O24" s="12"/>
      <c r="P24" s="16">
        <v>0</v>
      </c>
      <c r="Q24" s="12"/>
      <c r="R24" s="16">
        <v>0</v>
      </c>
      <c r="S24" s="16"/>
      <c r="T24" s="16">
        <v>0</v>
      </c>
      <c r="U24" s="6"/>
      <c r="V24" s="16">
        <v>0</v>
      </c>
      <c r="W24" s="18"/>
      <c r="X24" s="16">
        <v>0</v>
      </c>
    </row>
    <row r="25" spans="1:24" ht="12.75" customHeight="1">
      <c r="A25" s="6"/>
      <c r="B25" s="25"/>
      <c r="C25" s="25" t="s">
        <v>9</v>
      </c>
      <c r="D25" s="6"/>
      <c r="E25" s="16">
        <v>0</v>
      </c>
      <c r="F25" s="6"/>
      <c r="G25" s="16">
        <v>0</v>
      </c>
      <c r="H25" s="6"/>
      <c r="I25" s="16">
        <v>0</v>
      </c>
      <c r="J25" s="6"/>
      <c r="K25" s="74">
        <v>-0.2</v>
      </c>
      <c r="L25" s="74"/>
      <c r="M25" s="6"/>
      <c r="N25" s="16">
        <f>-1.2-0.1</f>
        <v>-1.3</v>
      </c>
      <c r="O25" s="6"/>
      <c r="P25" s="16">
        <v>-1.3</v>
      </c>
      <c r="Q25" s="6"/>
      <c r="R25" s="16">
        <v>-1.3</v>
      </c>
      <c r="S25" s="16"/>
      <c r="T25" s="16">
        <v>-1.3</v>
      </c>
      <c r="U25" s="6"/>
      <c r="V25" s="16">
        <v>-1.3</v>
      </c>
      <c r="W25" s="18"/>
      <c r="X25" s="16">
        <v>-1.3</v>
      </c>
    </row>
    <row r="26" spans="1:24" ht="12.75" customHeight="1">
      <c r="A26" s="6"/>
      <c r="B26" s="6"/>
      <c r="C26" s="25" t="s">
        <v>10</v>
      </c>
      <c r="D26" s="6"/>
      <c r="E26" s="16">
        <v>0</v>
      </c>
      <c r="F26" s="6"/>
      <c r="G26" s="16">
        <v>0</v>
      </c>
      <c r="H26" s="6"/>
      <c r="I26" s="16">
        <v>0</v>
      </c>
      <c r="J26" s="6"/>
      <c r="K26" s="74">
        <v>-0.6</v>
      </c>
      <c r="L26" s="74"/>
      <c r="M26" s="6"/>
      <c r="N26" s="16">
        <v>-3.3</v>
      </c>
      <c r="O26" s="6"/>
      <c r="P26" s="16">
        <v>-3.1</v>
      </c>
      <c r="Q26" s="6"/>
      <c r="R26" s="16">
        <v>-2.8</v>
      </c>
      <c r="S26" s="16"/>
      <c r="T26" s="16">
        <v>-2.8</v>
      </c>
      <c r="U26" s="6"/>
      <c r="V26" s="16">
        <v>-2.8</v>
      </c>
      <c r="W26" s="18"/>
      <c r="X26" s="16">
        <v>-2.8</v>
      </c>
    </row>
    <row r="27" spans="1:24" ht="12.75" customHeight="1">
      <c r="A27" s="29"/>
      <c r="B27" s="6"/>
      <c r="C27" s="25" t="s">
        <v>11</v>
      </c>
      <c r="D27" s="12"/>
      <c r="E27" s="16">
        <v>0</v>
      </c>
      <c r="F27" s="12"/>
      <c r="G27" s="16">
        <v>0</v>
      </c>
      <c r="H27" s="12"/>
      <c r="I27" s="16">
        <v>0</v>
      </c>
      <c r="J27" s="12"/>
      <c r="K27" s="74">
        <v>-0.1</v>
      </c>
      <c r="L27" s="74"/>
      <c r="M27" s="12"/>
      <c r="N27" s="16">
        <v>-0.5</v>
      </c>
      <c r="O27" s="12"/>
      <c r="P27" s="16">
        <v>-0.5</v>
      </c>
      <c r="Q27" s="12"/>
      <c r="R27" s="16">
        <v>-0.7</v>
      </c>
      <c r="S27" s="16"/>
      <c r="T27" s="16">
        <v>-0.6</v>
      </c>
      <c r="U27" s="6"/>
      <c r="V27" s="16">
        <v>-0.6</v>
      </c>
      <c r="W27" s="18"/>
      <c r="X27" s="16">
        <v>-0.6</v>
      </c>
    </row>
    <row r="28" spans="1:24" ht="12.75" customHeight="1">
      <c r="A28" s="29"/>
      <c r="B28" s="25" t="s">
        <v>12</v>
      </c>
      <c r="C28" s="6"/>
      <c r="D28" s="12"/>
      <c r="E28" s="16">
        <v>0</v>
      </c>
      <c r="F28" s="12"/>
      <c r="G28" s="16">
        <v>0</v>
      </c>
      <c r="H28" s="12"/>
      <c r="I28" s="16">
        <v>0</v>
      </c>
      <c r="J28" s="12"/>
      <c r="K28" s="27">
        <f>2.2+1.6</f>
        <v>3.8000000000000003</v>
      </c>
      <c r="L28" s="27"/>
      <c r="M28" s="12"/>
      <c r="N28" s="27">
        <f>11.4-1.6</f>
        <v>9.8000000000000007</v>
      </c>
      <c r="O28" s="12"/>
      <c r="P28" s="16">
        <f>(19.9+0.4)</f>
        <v>20.299999999999997</v>
      </c>
      <c r="Q28" s="12"/>
      <c r="R28" s="27">
        <f>19+0.2</f>
        <v>19.2</v>
      </c>
      <c r="S28" s="16"/>
      <c r="T28" s="74">
        <f>24.7-T30</f>
        <v>23.5</v>
      </c>
      <c r="U28" s="6"/>
      <c r="V28" s="110">
        <f>25.8-V30</f>
        <v>23.2</v>
      </c>
      <c r="W28" s="18"/>
      <c r="X28" s="110">
        <f>25.7-X30</f>
        <v>23.2</v>
      </c>
    </row>
    <row r="29" spans="1:24" ht="12.75" customHeight="1">
      <c r="A29" s="29"/>
      <c r="B29" s="25"/>
      <c r="C29" s="25" t="s">
        <v>13</v>
      </c>
      <c r="D29" s="12"/>
      <c r="E29" s="16">
        <v>0</v>
      </c>
      <c r="F29" s="12"/>
      <c r="G29" s="16">
        <v>0</v>
      </c>
      <c r="H29" s="12"/>
      <c r="I29" s="16">
        <v>0</v>
      </c>
      <c r="J29" s="12"/>
      <c r="K29" s="16">
        <v>0</v>
      </c>
      <c r="L29" s="16"/>
      <c r="M29" s="12"/>
      <c r="N29" s="16">
        <v>0</v>
      </c>
      <c r="O29" s="12"/>
      <c r="P29" s="16">
        <f>-6.9</f>
        <v>-6.9</v>
      </c>
      <c r="Q29" s="12"/>
      <c r="R29" s="16">
        <v>-2.6</v>
      </c>
      <c r="S29" s="16"/>
      <c r="T29" s="16">
        <v>-3.7</v>
      </c>
      <c r="U29" s="6"/>
      <c r="V29" s="106">
        <v>-3.5</v>
      </c>
      <c r="W29" s="106"/>
      <c r="X29" s="106">
        <v>-3.6</v>
      </c>
    </row>
    <row r="30" spans="1:24" ht="12.75" customHeight="1">
      <c r="A30" s="29"/>
      <c r="C30" s="25" t="s">
        <v>229</v>
      </c>
      <c r="D30" s="12"/>
      <c r="E30" s="16">
        <v>0</v>
      </c>
      <c r="F30" s="12"/>
      <c r="G30" s="16">
        <v>0</v>
      </c>
      <c r="H30" s="12"/>
      <c r="I30" s="16">
        <v>0</v>
      </c>
      <c r="J30" s="12"/>
      <c r="K30" s="16">
        <v>0</v>
      </c>
      <c r="L30" s="16"/>
      <c r="M30" s="12"/>
      <c r="N30" s="16">
        <v>0</v>
      </c>
      <c r="O30" s="12"/>
      <c r="P30" s="16">
        <v>0</v>
      </c>
      <c r="Q30" s="12"/>
      <c r="R30" s="16">
        <v>0</v>
      </c>
      <c r="S30" s="16"/>
      <c r="T30" s="74">
        <v>1.2</v>
      </c>
      <c r="U30" s="6"/>
      <c r="V30" s="110">
        <v>2.6</v>
      </c>
      <c r="W30" s="18"/>
      <c r="X30" s="110">
        <v>2.5</v>
      </c>
    </row>
    <row r="31" spans="1:24">
      <c r="A31" s="6"/>
      <c r="B31" s="6" t="s">
        <v>14</v>
      </c>
      <c r="C31" s="6"/>
      <c r="D31" s="12"/>
      <c r="E31" s="16">
        <v>-33.6</v>
      </c>
      <c r="F31" s="12"/>
      <c r="G31" s="16">
        <v>-25.4</v>
      </c>
      <c r="H31" s="12"/>
      <c r="I31" s="27">
        <f>-22.2-1.2</f>
        <v>-23.4</v>
      </c>
      <c r="J31" s="12"/>
      <c r="K31" s="27">
        <f>-11.7-2.9</f>
        <v>-14.6</v>
      </c>
      <c r="L31" s="27"/>
      <c r="M31" s="12"/>
      <c r="N31" s="27">
        <f>-11.4-0.6</f>
        <v>-12</v>
      </c>
      <c r="O31" s="12"/>
      <c r="P31" s="16">
        <v>-12.2</v>
      </c>
      <c r="Q31" s="12"/>
      <c r="R31" s="16">
        <v>-13</v>
      </c>
      <c r="S31" s="16"/>
      <c r="T31" s="16">
        <v>-13.5</v>
      </c>
      <c r="U31" s="6"/>
      <c r="V31" s="106">
        <v>-14.2</v>
      </c>
      <c r="W31" s="106"/>
      <c r="X31" s="106">
        <v>-14.5</v>
      </c>
    </row>
    <row r="32" spans="1:24">
      <c r="A32" s="6"/>
      <c r="B32" s="6"/>
      <c r="C32" s="25" t="s">
        <v>15</v>
      </c>
      <c r="D32" s="12"/>
      <c r="E32" s="120">
        <v>-6</v>
      </c>
      <c r="F32" s="12"/>
      <c r="G32" s="120">
        <v>-6</v>
      </c>
      <c r="H32" s="12"/>
      <c r="I32" s="120">
        <v>-6</v>
      </c>
      <c r="J32" s="12"/>
      <c r="K32" s="120">
        <v>-6</v>
      </c>
      <c r="L32" s="16"/>
      <c r="M32" s="12"/>
      <c r="N32" s="16">
        <v>-6</v>
      </c>
      <c r="O32" s="12"/>
      <c r="P32" s="16">
        <v>-6</v>
      </c>
      <c r="Q32" s="12"/>
      <c r="R32" s="16">
        <v>-6</v>
      </c>
      <c r="S32" s="16"/>
      <c r="T32" s="16">
        <v>-6</v>
      </c>
      <c r="U32" s="6"/>
      <c r="V32" s="106">
        <v>-6</v>
      </c>
      <c r="W32" s="106"/>
      <c r="X32" s="106">
        <v>-6</v>
      </c>
    </row>
    <row r="33" spans="1:24">
      <c r="A33" s="6"/>
      <c r="B33" s="25" t="s">
        <v>16</v>
      </c>
      <c r="C33" s="6"/>
      <c r="D33" s="6"/>
      <c r="E33" s="16">
        <v>-8.5</v>
      </c>
      <c r="F33" s="6"/>
      <c r="G33" s="16">
        <v>-8.8000000000000007</v>
      </c>
      <c r="H33" s="6"/>
      <c r="I33" s="16">
        <v>-9</v>
      </c>
      <c r="J33" s="6"/>
      <c r="K33" s="27">
        <f>-9.7+0.5-0.2</f>
        <v>-9.3999999999999986</v>
      </c>
      <c r="L33" s="27"/>
      <c r="M33" s="6"/>
      <c r="N33" s="27">
        <f>-7.2-1.5</f>
        <v>-8.6999999999999993</v>
      </c>
      <c r="O33" s="6"/>
      <c r="P33" s="16">
        <f>-8.9+0.3</f>
        <v>-8.6</v>
      </c>
      <c r="Q33" s="6"/>
      <c r="R33" s="27">
        <f>-8.9-0.3</f>
        <v>-9.2000000000000011</v>
      </c>
      <c r="S33" s="16"/>
      <c r="T33" s="16">
        <v>-8.6999999999999993</v>
      </c>
      <c r="U33" s="6"/>
      <c r="V33" s="106">
        <v>-8.6999999999999993</v>
      </c>
      <c r="W33" s="106"/>
      <c r="X33" s="106">
        <v>-8.6999999999999993</v>
      </c>
    </row>
    <row r="34" spans="1:24">
      <c r="A34" s="6"/>
      <c r="B34" s="6"/>
      <c r="C34" s="25" t="s">
        <v>17</v>
      </c>
      <c r="D34" s="6"/>
      <c r="E34" s="30">
        <v>-1.4</v>
      </c>
      <c r="F34" s="6"/>
      <c r="G34" s="30">
        <v>-1.6</v>
      </c>
      <c r="H34" s="6"/>
      <c r="I34" s="30">
        <v>-2</v>
      </c>
      <c r="J34" s="6"/>
      <c r="K34" s="101">
        <f>-3.8+2.6</f>
        <v>-1.1999999999999997</v>
      </c>
      <c r="L34" s="116"/>
      <c r="M34" s="6"/>
      <c r="N34" s="101">
        <f>1-2.6-0.7</f>
        <v>-2.2999999999999998</v>
      </c>
      <c r="O34" s="6"/>
      <c r="P34" s="30">
        <v>-2.2000000000000002</v>
      </c>
      <c r="Q34" s="6"/>
      <c r="R34" s="30">
        <v>-1.9</v>
      </c>
      <c r="S34" s="16"/>
      <c r="T34" s="30">
        <v>-2.2000000000000002</v>
      </c>
      <c r="U34" s="6"/>
      <c r="V34" s="107">
        <v>-2.2000000000000002</v>
      </c>
      <c r="W34" s="106"/>
      <c r="X34" s="107">
        <v>-2.2000000000000002</v>
      </c>
    </row>
    <row r="35" spans="1:24" ht="3.9" customHeight="1">
      <c r="A35" s="11"/>
      <c r="B35" s="6"/>
      <c r="C35" s="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6"/>
      <c r="V35" s="18"/>
      <c r="W35" s="18"/>
      <c r="X35" s="18"/>
    </row>
    <row r="36" spans="1:24">
      <c r="A36" s="11"/>
      <c r="B36" s="6"/>
      <c r="C36" s="25" t="s">
        <v>18</v>
      </c>
      <c r="D36" s="12"/>
      <c r="E36" s="12">
        <f>SUM(E21:E34)</f>
        <v>-123.70000000000002</v>
      </c>
      <c r="F36" s="12"/>
      <c r="G36" s="12">
        <f>SUM(G21:G34)</f>
        <v>-108.39999999999999</v>
      </c>
      <c r="H36" s="12"/>
      <c r="I36" s="12">
        <f>SUM(I21:I34)</f>
        <v>-99.6</v>
      </c>
      <c r="J36" s="12"/>
      <c r="K36" s="12">
        <f>SUM(K21:K34)</f>
        <v>-78.800000000000026</v>
      </c>
      <c r="L36" s="12"/>
      <c r="M36" s="12"/>
      <c r="N36" s="12">
        <f>SUM(N21:N34)</f>
        <v>-70.299999999999983</v>
      </c>
      <c r="O36" s="12"/>
      <c r="P36" s="12">
        <f>SUM(P21:P34)</f>
        <v>-64</v>
      </c>
      <c r="Q36" s="12"/>
      <c r="R36" s="12">
        <f>SUM(R21:R34)</f>
        <v>-61.699999999999996</v>
      </c>
      <c r="S36" s="6"/>
      <c r="T36" s="12">
        <f>SUM(T21:T34)</f>
        <v>-61.5</v>
      </c>
      <c r="U36" s="22"/>
      <c r="V36" s="12">
        <f>SUM(V21:V34)</f>
        <v>-62.2</v>
      </c>
      <c r="W36" s="18"/>
      <c r="X36" s="12">
        <f>SUM(X21:X34)</f>
        <v>-62.7</v>
      </c>
    </row>
    <row r="37" spans="1:24" ht="6" customHeight="1">
      <c r="A37" s="29"/>
      <c r="B37" s="6"/>
      <c r="C37" s="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6"/>
      <c r="V37" s="18"/>
      <c r="W37" s="18"/>
      <c r="X37" s="18"/>
    </row>
    <row r="38" spans="1:24">
      <c r="A38" s="11" t="s">
        <v>19</v>
      </c>
      <c r="B38" s="6"/>
      <c r="C38" s="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6"/>
      <c r="V38" s="18"/>
      <c r="W38" s="18"/>
      <c r="X38" s="18"/>
    </row>
    <row r="39" spans="1:24">
      <c r="A39" s="11"/>
      <c r="B39" s="77" t="s">
        <v>93</v>
      </c>
      <c r="C39" s="6"/>
      <c r="D39" s="12"/>
      <c r="E39" s="16">
        <v>0.5</v>
      </c>
      <c r="F39" s="12"/>
      <c r="G39" s="16">
        <v>5.4</v>
      </c>
      <c r="H39" s="12"/>
      <c r="I39" s="16">
        <v>8.8000000000000007</v>
      </c>
      <c r="J39" s="12"/>
      <c r="K39" s="16">
        <v>0.9</v>
      </c>
      <c r="L39" s="16"/>
      <c r="M39" s="12"/>
      <c r="N39" s="16">
        <v>0</v>
      </c>
      <c r="O39" s="12"/>
      <c r="P39" s="16">
        <v>0.1</v>
      </c>
      <c r="Q39" s="12"/>
      <c r="R39" s="16">
        <v>0</v>
      </c>
      <c r="S39" s="12"/>
      <c r="T39" s="16">
        <v>0</v>
      </c>
      <c r="U39" s="6"/>
      <c r="V39" s="16">
        <v>0</v>
      </c>
      <c r="W39" s="18"/>
      <c r="X39" s="16">
        <v>0</v>
      </c>
    </row>
    <row r="40" spans="1:24">
      <c r="A40" s="29"/>
      <c r="B40" s="25" t="s">
        <v>19</v>
      </c>
      <c r="C40" s="6"/>
      <c r="D40" s="12"/>
      <c r="E40" s="101">
        <f>-8.8+8.9</f>
        <v>9.9999999999999645E-2</v>
      </c>
      <c r="F40" s="12"/>
      <c r="G40" s="101">
        <f>2.4-0.5</f>
        <v>1.9</v>
      </c>
      <c r="H40" s="12"/>
      <c r="I40" s="30">
        <v>3.2</v>
      </c>
      <c r="J40" s="12"/>
      <c r="K40" s="101">
        <f>(-0.1-3.6+3.5)-(-8.3+8.4)</f>
        <v>-0.29999999999999982</v>
      </c>
      <c r="L40" s="116"/>
      <c r="M40" s="12"/>
      <c r="N40" s="101">
        <f>+(4-3.5-0.2)-0</f>
        <v>0.3</v>
      </c>
      <c r="O40" s="12"/>
      <c r="P40" s="101">
        <f>+(0.8-0.2-0.2)-(-0.2+0.2)</f>
        <v>0.40000000000000008</v>
      </c>
      <c r="Q40" s="12"/>
      <c r="R40" s="30">
        <v>0.2</v>
      </c>
      <c r="S40" s="16"/>
      <c r="T40" s="30">
        <v>0.1</v>
      </c>
      <c r="U40" s="6"/>
      <c r="V40" s="107">
        <v>-0.1</v>
      </c>
      <c r="W40" s="106"/>
      <c r="X40" s="107">
        <v>-0.1</v>
      </c>
    </row>
    <row r="41" spans="1:24" ht="3.9" customHeight="1">
      <c r="A41" s="29"/>
      <c r="B41" s="25"/>
      <c r="C41" s="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31"/>
      <c r="S41" s="12"/>
      <c r="T41" s="26"/>
      <c r="U41" s="6"/>
      <c r="V41" s="18"/>
      <c r="W41" s="18"/>
      <c r="X41" s="18"/>
    </row>
    <row r="42" spans="1:24">
      <c r="A42" s="6"/>
      <c r="B42" s="6"/>
      <c r="C42" s="25" t="s">
        <v>20</v>
      </c>
      <c r="D42" s="12"/>
      <c r="E42" s="12">
        <f>SUM(E39:E40)</f>
        <v>0.59999999999999964</v>
      </c>
      <c r="F42" s="12"/>
      <c r="G42" s="12">
        <f>SUM(G39:G40)</f>
        <v>7.3000000000000007</v>
      </c>
      <c r="H42" s="12"/>
      <c r="I42" s="12">
        <f>SUM(I39:I40)</f>
        <v>12</v>
      </c>
      <c r="J42" s="12"/>
      <c r="K42" s="12">
        <f>SUM(K39:K40)</f>
        <v>0.6000000000000002</v>
      </c>
      <c r="L42" s="12"/>
      <c r="M42" s="12"/>
      <c r="N42" s="12">
        <f>SUM(N39:N40)</f>
        <v>0.3</v>
      </c>
      <c r="O42" s="12"/>
      <c r="P42" s="12">
        <f>SUM(P39:P40)</f>
        <v>0.50000000000000011</v>
      </c>
      <c r="Q42" s="12"/>
      <c r="R42" s="12">
        <f>SUM(R39:R40)</f>
        <v>0.2</v>
      </c>
      <c r="S42" s="12"/>
      <c r="T42" s="12">
        <f>SUM(T39:T40)</f>
        <v>0.1</v>
      </c>
      <c r="U42" s="6"/>
      <c r="V42" s="12">
        <f>SUM(V39:V40)</f>
        <v>-0.1</v>
      </c>
      <c r="W42" s="18"/>
      <c r="X42" s="12">
        <f>SUM(X39:X40)</f>
        <v>-0.1</v>
      </c>
    </row>
    <row r="43" spans="1:24" ht="7.5" customHeight="1">
      <c r="A43" s="29"/>
      <c r="B43" s="6"/>
      <c r="C43" s="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6"/>
      <c r="V43" s="18"/>
      <c r="W43" s="18"/>
      <c r="X43" s="18"/>
    </row>
    <row r="44" spans="1:24" ht="12.75" customHeight="1">
      <c r="A44" s="11" t="s">
        <v>21</v>
      </c>
      <c r="B44" s="6"/>
      <c r="C44" s="6"/>
      <c r="D44" s="12"/>
      <c r="E44" s="20">
        <f>+E18+E36+E42</f>
        <v>69.899999999999977</v>
      </c>
      <c r="F44" s="12"/>
      <c r="G44" s="20">
        <f>+G18+G36+G42</f>
        <v>85.800000000000011</v>
      </c>
      <c r="H44" s="12"/>
      <c r="I44" s="20">
        <f>+I18+I36+I42</f>
        <v>87.1</v>
      </c>
      <c r="J44" s="12"/>
      <c r="K44" s="20">
        <f>+K18+K36+K42</f>
        <v>97.499999999999957</v>
      </c>
      <c r="L44" s="20"/>
      <c r="M44" s="12"/>
      <c r="N44" s="20">
        <f>+N18+N36+N42</f>
        <v>51.300000000000026</v>
      </c>
      <c r="O44" s="12"/>
      <c r="P44" s="20">
        <f>+P18+P36+P42</f>
        <v>69.700000000000017</v>
      </c>
      <c r="Q44" s="12"/>
      <c r="R44" s="20">
        <f>+R18+R36+R42</f>
        <v>69.100000000000009</v>
      </c>
      <c r="S44" s="12"/>
      <c r="T44" s="20">
        <f>+T18+T36+T42</f>
        <v>73.899999999999977</v>
      </c>
      <c r="U44" s="22"/>
      <c r="V44" s="20">
        <f>+V18+V36+V42</f>
        <v>76.90000000000002</v>
      </c>
      <c r="W44" s="18"/>
      <c r="X44" s="20">
        <f>+X18+X36+X42</f>
        <v>74.7</v>
      </c>
    </row>
    <row r="45" spans="1:24" ht="7.5" customHeight="1">
      <c r="A45" s="29"/>
      <c r="B45" s="6"/>
      <c r="C45" s="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6"/>
      <c r="V45" s="18"/>
      <c r="W45" s="18"/>
      <c r="X45" s="18"/>
    </row>
    <row r="46" spans="1:24">
      <c r="A46" s="11" t="s">
        <v>82</v>
      </c>
      <c r="B46" s="6"/>
      <c r="C46" s="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6"/>
      <c r="V46" s="18"/>
      <c r="W46" s="18"/>
      <c r="X46" s="18"/>
    </row>
    <row r="47" spans="1:24">
      <c r="A47" s="11"/>
      <c r="B47" s="25" t="s">
        <v>238</v>
      </c>
      <c r="C47" s="6"/>
      <c r="D47" s="12"/>
      <c r="E47" s="120">
        <f>56.4-56.4</f>
        <v>0</v>
      </c>
      <c r="F47" s="12"/>
      <c r="G47" s="120">
        <f>56.4-56.4</f>
        <v>0</v>
      </c>
      <c r="H47" s="12"/>
      <c r="I47" s="120">
        <f>56.4-56.4</f>
        <v>0</v>
      </c>
      <c r="J47" s="12"/>
      <c r="K47" s="120">
        <v>3.9</v>
      </c>
      <c r="L47" s="12"/>
      <c r="M47" s="16"/>
      <c r="N47" s="120">
        <v>21.6</v>
      </c>
      <c r="O47" s="12"/>
      <c r="P47" s="120">
        <v>11.8</v>
      </c>
      <c r="Q47" s="12"/>
      <c r="R47" s="120">
        <v>11.8</v>
      </c>
      <c r="S47" s="12"/>
      <c r="T47" s="120">
        <v>11.8</v>
      </c>
      <c r="U47" s="6"/>
      <c r="V47" s="120">
        <v>9.8000000000000007</v>
      </c>
      <c r="W47" s="18"/>
      <c r="X47" s="16">
        <v>0</v>
      </c>
    </row>
    <row r="48" spans="1:24">
      <c r="A48" s="11"/>
      <c r="B48" s="77" t="s">
        <v>237</v>
      </c>
      <c r="C48" s="6"/>
      <c r="D48" s="12"/>
      <c r="E48" s="12">
        <f>+'TW-Disc.,Assets,Reserves,Other'!E13</f>
        <v>7</v>
      </c>
      <c r="F48" s="12"/>
      <c r="G48" s="12">
        <f>+'TW-Disc.,Assets,Reserves,Other'!G13</f>
        <v>3.3</v>
      </c>
      <c r="H48" s="12"/>
      <c r="I48" s="12">
        <f>+'TW-Disc.,Assets,Reserves,Other'!I13</f>
        <v>4.8</v>
      </c>
      <c r="J48" s="12"/>
      <c r="K48" s="12">
        <f>+'TW-Disc.,Assets,Reserves,Other'!K13</f>
        <v>2.9</v>
      </c>
      <c r="L48" s="12"/>
      <c r="M48" s="16"/>
      <c r="N48" s="12">
        <f>+'TW-Disc.,Assets,Reserves,Other'!M13</f>
        <v>0.89999999999999991</v>
      </c>
      <c r="O48" s="12"/>
      <c r="P48" s="12">
        <f>+'TW-Disc.,Assets,Reserves,Other'!O13</f>
        <v>0</v>
      </c>
      <c r="Q48" s="12"/>
      <c r="R48" s="12">
        <f>+'TW-Disc.,Assets,Reserves,Other'!Q13</f>
        <v>0</v>
      </c>
      <c r="S48" s="12"/>
      <c r="T48" s="12">
        <f>+'TW-Disc.,Assets,Reserves,Other'!S13</f>
        <v>0</v>
      </c>
      <c r="U48" s="6"/>
      <c r="V48" s="12">
        <f>+'TW-Disc.,Assets,Reserves,Other'!U13</f>
        <v>0</v>
      </c>
      <c r="W48" s="18"/>
      <c r="X48" s="12">
        <f>+'TW-Disc.,Assets,Reserves,Other'!W13</f>
        <v>0</v>
      </c>
    </row>
    <row r="49" spans="1:24">
      <c r="A49" s="29"/>
      <c r="B49" s="25" t="s">
        <v>178</v>
      </c>
      <c r="C49" s="6"/>
      <c r="D49" s="12"/>
      <c r="E49" s="12">
        <f>+'TW-Disc.,Assets,Reserves,Other'!E23</f>
        <v>0</v>
      </c>
      <c r="F49" s="12"/>
      <c r="G49" s="12">
        <f>+'TW-Disc.,Assets,Reserves,Other'!G23</f>
        <v>0</v>
      </c>
      <c r="H49" s="12"/>
      <c r="I49" s="12">
        <f>+'TW-Disc.,Assets,Reserves,Other'!I23</f>
        <v>0</v>
      </c>
      <c r="J49" s="12"/>
      <c r="K49" s="12">
        <f>+'TW-Disc.,Assets,Reserves,Other'!K23</f>
        <v>3.6</v>
      </c>
      <c r="L49" s="12"/>
      <c r="M49" s="12"/>
      <c r="N49" s="12">
        <f>+'TW-Disc.,Assets,Reserves,Other'!M23</f>
        <v>0.2</v>
      </c>
      <c r="O49" s="12"/>
      <c r="P49" s="12">
        <f>+'TW-Disc.,Assets,Reserves,Other'!O23</f>
        <v>0</v>
      </c>
      <c r="Q49" s="12"/>
      <c r="R49" s="12">
        <f>+'TW-Disc.,Assets,Reserves,Other'!Q23</f>
        <v>1.9</v>
      </c>
      <c r="S49" s="16"/>
      <c r="T49" s="12">
        <f>+'TW-Disc.,Assets,Reserves,Other'!S23</f>
        <v>3</v>
      </c>
      <c r="U49" s="6"/>
      <c r="V49" s="12">
        <f>+'TW-Disc.,Assets,Reserves,Other'!U23</f>
        <v>5</v>
      </c>
      <c r="W49" s="32"/>
      <c r="X49" s="12">
        <f>+'TW-Disc.,Assets,Reserves,Other'!W23</f>
        <v>5</v>
      </c>
    </row>
    <row r="50" spans="1:24">
      <c r="A50" s="29"/>
      <c r="B50" s="77" t="s">
        <v>179</v>
      </c>
      <c r="C50" s="6"/>
      <c r="D50" s="12"/>
      <c r="E50" s="12">
        <f>+'TW-Disc.,Assets,Reserves,Other'!E34</f>
        <v>-26.9</v>
      </c>
      <c r="F50" s="12"/>
      <c r="G50" s="12">
        <f>+'TW-Disc.,Assets,Reserves,Other'!G34</f>
        <v>3.0000000000000009</v>
      </c>
      <c r="H50" s="12"/>
      <c r="I50" s="12">
        <f>+'TW-Disc.,Assets,Reserves,Other'!I34</f>
        <v>-8.8000000000000007</v>
      </c>
      <c r="J50" s="12"/>
      <c r="K50" s="12">
        <f>+'TW-Disc.,Assets,Reserves,Other'!K34</f>
        <v>31.299999999999997</v>
      </c>
      <c r="L50" s="12"/>
      <c r="M50" s="12"/>
      <c r="N50" s="12">
        <f>+'TW-Disc.,Assets,Reserves,Other'!M34</f>
        <v>1.4</v>
      </c>
      <c r="O50" s="12"/>
      <c r="P50" s="12">
        <f>+'TW-Disc.,Assets,Reserves,Other'!O34</f>
        <v>0.2</v>
      </c>
      <c r="Q50" s="12"/>
      <c r="R50" s="12">
        <f>+'TW-Disc.,Assets,Reserves,Other'!Q34</f>
        <v>0</v>
      </c>
      <c r="S50" s="16"/>
      <c r="T50" s="12">
        <f>+'TW-Disc.,Assets,Reserves,Other'!S34</f>
        <v>0</v>
      </c>
      <c r="U50" s="6"/>
      <c r="V50" s="12">
        <f>+'TW-Disc.,Assets,Reserves,Other'!U34</f>
        <v>0</v>
      </c>
      <c r="W50" s="32"/>
      <c r="X50" s="12">
        <f>+'TW-Disc.,Assets,Reserves,Other'!W34</f>
        <v>0</v>
      </c>
    </row>
    <row r="51" spans="1:24">
      <c r="A51" s="29"/>
      <c r="B51" s="25" t="s">
        <v>180</v>
      </c>
      <c r="C51" s="6"/>
      <c r="D51" s="12"/>
      <c r="E51" s="13">
        <f>+'TW-Disc.,Assets,Reserves,Other'!E70</f>
        <v>-21.400000000000002</v>
      </c>
      <c r="F51" s="12"/>
      <c r="G51" s="13">
        <f>+'TW-Disc.,Assets,Reserves,Other'!G70</f>
        <v>5</v>
      </c>
      <c r="H51" s="12"/>
      <c r="I51" s="13">
        <f>+'TW-Disc.,Assets,Reserves,Other'!I70</f>
        <v>1.2</v>
      </c>
      <c r="J51" s="12"/>
      <c r="K51" s="13">
        <f>+'TW-Disc.,Assets,Reserves,Other'!K70</f>
        <v>-8.1000000000000014</v>
      </c>
      <c r="L51" s="26"/>
      <c r="M51" s="12"/>
      <c r="N51" s="13">
        <f>+'TW-Disc.,Assets,Reserves,Other'!M70</f>
        <v>12.3</v>
      </c>
      <c r="O51" s="12"/>
      <c r="P51" s="13">
        <f>+'TW-Disc.,Assets,Reserves,Other'!O70</f>
        <v>6.3000000000000007</v>
      </c>
      <c r="Q51" s="12"/>
      <c r="R51" s="13">
        <f>+'TW-Disc.,Assets,Reserves,Other'!Q70</f>
        <v>1.9999999999999998</v>
      </c>
      <c r="S51" s="16"/>
      <c r="T51" s="13">
        <f>+'TW-Disc.,Assets,Reserves,Other'!S70</f>
        <v>2.2000000000000002</v>
      </c>
      <c r="U51" s="6"/>
      <c r="V51" s="13">
        <f>+'TW-Disc.,Assets,Reserves,Other'!U70</f>
        <v>-0.5</v>
      </c>
      <c r="W51" s="18"/>
      <c r="X51" s="13">
        <f>+'TW-Disc.,Assets,Reserves,Other'!W70</f>
        <v>-0.5</v>
      </c>
    </row>
    <row r="52" spans="1:24" ht="3.9" customHeight="1">
      <c r="A52" s="29"/>
      <c r="B52" s="6"/>
      <c r="C52" s="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26"/>
      <c r="S52" s="12"/>
      <c r="T52" s="26"/>
      <c r="U52" s="6"/>
      <c r="V52" s="18"/>
      <c r="W52" s="18"/>
      <c r="X52" s="18"/>
    </row>
    <row r="53" spans="1:24">
      <c r="A53" s="29"/>
      <c r="B53" s="6"/>
      <c r="C53" s="11" t="s">
        <v>22</v>
      </c>
      <c r="D53" s="12"/>
      <c r="E53" s="20">
        <f>SUM(E47:E51)</f>
        <v>-41.3</v>
      </c>
      <c r="F53" s="12"/>
      <c r="G53" s="20">
        <f>SUM(G47:G51)</f>
        <v>11.3</v>
      </c>
      <c r="H53" s="12"/>
      <c r="I53" s="20">
        <f>SUM(I47:I51)</f>
        <v>-2.8000000000000007</v>
      </c>
      <c r="J53" s="12"/>
      <c r="K53" s="20">
        <f>SUM(K47:K51)</f>
        <v>33.599999999999994</v>
      </c>
      <c r="L53" s="20"/>
      <c r="M53" s="12"/>
      <c r="N53" s="20">
        <f>SUM(N47:N51)</f>
        <v>36.4</v>
      </c>
      <c r="O53" s="12"/>
      <c r="P53" s="20">
        <f>SUM(P47:P51)</f>
        <v>18.3</v>
      </c>
      <c r="Q53" s="12"/>
      <c r="R53" s="20">
        <f>SUM(R47:R51)</f>
        <v>15.700000000000001</v>
      </c>
      <c r="S53" s="12"/>
      <c r="T53" s="20">
        <f>SUM(T47:T51)</f>
        <v>17</v>
      </c>
      <c r="U53" s="6"/>
      <c r="V53" s="20">
        <f>SUM(V47:V51)</f>
        <v>14.3</v>
      </c>
      <c r="W53" s="18"/>
      <c r="X53" s="20">
        <f>SUM(X47:X51)</f>
        <v>4.5</v>
      </c>
    </row>
    <row r="54" spans="1:24" ht="7.5" customHeight="1">
      <c r="A54" s="29"/>
      <c r="B54" s="6"/>
      <c r="C54" s="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6"/>
      <c r="V54" s="18"/>
      <c r="W54" s="18"/>
      <c r="X54" s="18"/>
    </row>
    <row r="55" spans="1:24" ht="13.8" thickBot="1">
      <c r="A55" s="29" t="s">
        <v>23</v>
      </c>
      <c r="B55" s="6"/>
      <c r="C55" s="6"/>
      <c r="D55" s="12"/>
      <c r="E55" s="33">
        <f>+E44+E53</f>
        <v>28.59999999999998</v>
      </c>
      <c r="F55" s="12"/>
      <c r="G55" s="33">
        <f>+G44+G53</f>
        <v>97.100000000000009</v>
      </c>
      <c r="H55" s="12"/>
      <c r="I55" s="33">
        <f>+I44+I53</f>
        <v>84.3</v>
      </c>
      <c r="J55" s="12"/>
      <c r="K55" s="33">
        <f>+K44+K53</f>
        <v>131.09999999999997</v>
      </c>
      <c r="L55" s="36"/>
      <c r="M55" s="12"/>
      <c r="N55" s="33">
        <f>+N44+N53</f>
        <v>87.700000000000017</v>
      </c>
      <c r="O55" s="12"/>
      <c r="P55" s="33">
        <f>+P44+P53</f>
        <v>88.000000000000014</v>
      </c>
      <c r="Q55" s="12"/>
      <c r="R55" s="33">
        <f>+R44+R53</f>
        <v>84.800000000000011</v>
      </c>
      <c r="S55" s="12"/>
      <c r="T55" s="33">
        <f>+T44+T53</f>
        <v>90.899999999999977</v>
      </c>
      <c r="U55" s="22"/>
      <c r="V55" s="33">
        <f>+V44+V53</f>
        <v>91.200000000000017</v>
      </c>
      <c r="W55" s="18"/>
      <c r="X55" s="33">
        <f>+X44+X53</f>
        <v>79.2</v>
      </c>
    </row>
    <row r="56" spans="1:24" ht="6" customHeight="1" thickTop="1">
      <c r="A56" s="29"/>
      <c r="B56" s="6"/>
      <c r="C56" s="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6"/>
      <c r="V56" s="18"/>
      <c r="W56" s="18"/>
      <c r="X56" s="18"/>
    </row>
    <row r="57" spans="1:24" ht="12.75" customHeight="1">
      <c r="A57" s="19" t="s">
        <v>24</v>
      </c>
      <c r="B57" s="6"/>
      <c r="C57" s="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6"/>
      <c r="V57" s="18"/>
      <c r="W57" s="18"/>
      <c r="X57" s="18"/>
    </row>
    <row r="58" spans="1:24" ht="12.75" customHeight="1">
      <c r="A58" s="19"/>
      <c r="B58" s="77" t="s">
        <v>24</v>
      </c>
      <c r="C58" s="60"/>
      <c r="D58" s="12"/>
      <c r="E58" s="74">
        <f>-14.4-0.5</f>
        <v>-14.9</v>
      </c>
      <c r="F58" s="12"/>
      <c r="G58" s="74">
        <f>-14.7-0.5</f>
        <v>-15.2</v>
      </c>
      <c r="H58" s="12"/>
      <c r="I58" s="74">
        <f>-13.4-0.5</f>
        <v>-13.9</v>
      </c>
      <c r="J58" s="12"/>
      <c r="K58" s="16">
        <v>-0.1</v>
      </c>
      <c r="L58" s="16"/>
      <c r="M58" s="12"/>
      <c r="N58" s="16">
        <v>-0.1</v>
      </c>
      <c r="O58" s="12"/>
      <c r="P58" s="16">
        <v>0</v>
      </c>
      <c r="Q58" s="12"/>
      <c r="R58" s="16">
        <v>0</v>
      </c>
      <c r="S58" s="12"/>
      <c r="T58" s="16">
        <v>0</v>
      </c>
      <c r="U58" s="6"/>
      <c r="V58" s="16">
        <v>0</v>
      </c>
      <c r="W58" s="18"/>
      <c r="X58" s="16">
        <v>0</v>
      </c>
    </row>
    <row r="59" spans="1:24">
      <c r="A59" s="6"/>
      <c r="B59" s="25" t="s">
        <v>25</v>
      </c>
      <c r="C59" s="6"/>
      <c r="D59" s="12"/>
      <c r="E59" s="16">
        <v>0</v>
      </c>
      <c r="F59" s="12"/>
      <c r="G59" s="16">
        <v>0</v>
      </c>
      <c r="H59" s="12"/>
      <c r="I59" s="16">
        <v>0</v>
      </c>
      <c r="J59" s="12"/>
      <c r="K59" s="16">
        <v>0</v>
      </c>
      <c r="L59" s="16"/>
      <c r="M59" s="12"/>
      <c r="N59" s="16">
        <v>0</v>
      </c>
      <c r="O59" s="12"/>
      <c r="P59" s="16">
        <v>2.6</v>
      </c>
      <c r="Q59" s="12"/>
      <c r="R59" s="16">
        <v>7.4</v>
      </c>
      <c r="S59" s="16"/>
      <c r="T59" s="16">
        <v>8.6999999999999993</v>
      </c>
      <c r="U59" s="6"/>
      <c r="V59" s="106">
        <v>17.2</v>
      </c>
      <c r="W59" s="106"/>
      <c r="X59" s="106">
        <v>21.3</v>
      </c>
    </row>
    <row r="60" spans="1:24">
      <c r="A60" s="6"/>
      <c r="B60" s="25" t="s">
        <v>26</v>
      </c>
      <c r="C60" s="6"/>
      <c r="D60" s="12"/>
      <c r="E60" s="74">
        <v>0.5</v>
      </c>
      <c r="F60" s="12"/>
      <c r="G60" s="74">
        <v>0.5</v>
      </c>
      <c r="H60" s="12"/>
      <c r="I60" s="74">
        <v>0.5</v>
      </c>
      <c r="J60" s="12"/>
      <c r="K60" s="27">
        <f>9-9+0.9</f>
        <v>0.9</v>
      </c>
      <c r="L60" s="27"/>
      <c r="M60" s="12"/>
      <c r="N60" s="16">
        <v>0.1</v>
      </c>
      <c r="O60" s="12"/>
      <c r="P60" s="16">
        <v>0.6</v>
      </c>
      <c r="Q60" s="12"/>
      <c r="R60" s="16">
        <v>0.4</v>
      </c>
      <c r="S60" s="16"/>
      <c r="T60" s="16">
        <v>0.2</v>
      </c>
      <c r="U60" s="6"/>
      <c r="V60" s="106">
        <v>0.1</v>
      </c>
      <c r="W60" s="106"/>
      <c r="X60" s="106">
        <v>0.1</v>
      </c>
    </row>
    <row r="61" spans="1:24" ht="6" customHeight="1">
      <c r="A61" s="6"/>
      <c r="B61" s="25"/>
      <c r="C61" s="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6"/>
      <c r="S61" s="16"/>
      <c r="T61" s="16"/>
      <c r="U61" s="6"/>
      <c r="V61" s="18"/>
      <c r="W61" s="18"/>
      <c r="X61" s="18"/>
    </row>
    <row r="62" spans="1:24">
      <c r="A62" s="29" t="s">
        <v>27</v>
      </c>
      <c r="B62" s="6"/>
      <c r="C62" s="6"/>
      <c r="D62" s="34"/>
      <c r="E62" s="138">
        <f>-12.1+2.1</f>
        <v>-10</v>
      </c>
      <c r="F62" s="34"/>
      <c r="G62" s="138">
        <f>-34.4+2.1</f>
        <v>-32.299999999999997</v>
      </c>
      <c r="H62" s="34"/>
      <c r="I62" s="117">
        <f>-25.9-2.3+2.1</f>
        <v>-26.099999999999998</v>
      </c>
      <c r="J62" s="34"/>
      <c r="K62" s="117">
        <f>-57.4+0.4+2.1</f>
        <v>-54.9</v>
      </c>
      <c r="L62" s="117"/>
      <c r="M62" s="34"/>
      <c r="N62" s="117">
        <f>-33-1.3</f>
        <v>-34.299999999999997</v>
      </c>
      <c r="O62" s="34"/>
      <c r="P62" s="117">
        <f>-31.5-4.2</f>
        <v>-35.700000000000003</v>
      </c>
      <c r="Q62" s="34"/>
      <c r="R62" s="16">
        <v>-36.299999999999997</v>
      </c>
      <c r="S62" s="16"/>
      <c r="T62" s="16">
        <v>-39.1</v>
      </c>
      <c r="U62" s="6"/>
      <c r="V62" s="106">
        <v>-42.5</v>
      </c>
      <c r="W62" s="18"/>
      <c r="X62" s="106">
        <v>-39.4</v>
      </c>
    </row>
    <row r="63" spans="1:24" ht="6" customHeight="1">
      <c r="A63" s="29"/>
      <c r="B63" s="6"/>
      <c r="C63" s="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16"/>
      <c r="S63" s="16"/>
      <c r="T63" s="16"/>
      <c r="U63" s="6"/>
      <c r="V63" s="18"/>
      <c r="W63" s="18"/>
      <c r="X63" s="18"/>
    </row>
    <row r="64" spans="1:24">
      <c r="A64" s="11" t="s">
        <v>28</v>
      </c>
      <c r="B64" s="6"/>
      <c r="C64" s="6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16"/>
      <c r="S64" s="16"/>
      <c r="T64" s="16"/>
      <c r="U64" s="6"/>
      <c r="V64" s="18"/>
      <c r="W64" s="18"/>
      <c r="X64" s="18"/>
    </row>
    <row r="65" spans="1:25">
      <c r="A65" s="11"/>
      <c r="B65" s="6" t="s">
        <v>159</v>
      </c>
      <c r="C65" s="6"/>
      <c r="D65" s="35"/>
      <c r="E65" s="108">
        <v>0</v>
      </c>
      <c r="F65" s="35"/>
      <c r="G65" s="108">
        <v>0</v>
      </c>
      <c r="H65" s="35"/>
      <c r="I65" s="108">
        <v>-9</v>
      </c>
      <c r="J65" s="35"/>
      <c r="K65" s="122">
        <f>9-0.9</f>
        <v>8.1</v>
      </c>
      <c r="L65" s="122"/>
      <c r="M65" s="35"/>
      <c r="N65" s="108">
        <v>0</v>
      </c>
      <c r="O65" s="35"/>
      <c r="P65" s="108">
        <v>0</v>
      </c>
      <c r="Q65" s="35"/>
      <c r="R65" s="108">
        <v>0</v>
      </c>
      <c r="S65" s="16"/>
      <c r="T65" s="108">
        <v>0</v>
      </c>
      <c r="U65" s="6"/>
      <c r="V65" s="108">
        <v>0</v>
      </c>
      <c r="W65" s="18"/>
      <c r="X65" s="108">
        <v>0</v>
      </c>
    </row>
    <row r="66" spans="1:25">
      <c r="A66" s="11"/>
      <c r="B66" s="77" t="s">
        <v>55</v>
      </c>
      <c r="C66" s="6"/>
      <c r="D66" s="35"/>
      <c r="E66" s="108">
        <v>0</v>
      </c>
      <c r="F66" s="35"/>
      <c r="G66" s="108">
        <v>0</v>
      </c>
      <c r="H66" s="35"/>
      <c r="I66" s="108">
        <v>2.2999999999999998</v>
      </c>
      <c r="J66" s="35"/>
      <c r="K66" s="108">
        <v>0</v>
      </c>
      <c r="L66" s="108"/>
      <c r="M66" s="35"/>
      <c r="N66" s="108">
        <v>0</v>
      </c>
      <c r="O66" s="35"/>
      <c r="P66" s="108">
        <v>4.2</v>
      </c>
      <c r="Q66" s="35"/>
      <c r="R66" s="108">
        <v>0</v>
      </c>
      <c r="S66" s="16"/>
      <c r="T66" s="108">
        <v>0</v>
      </c>
      <c r="U66" s="6"/>
      <c r="V66" s="108">
        <v>0</v>
      </c>
      <c r="W66" s="18"/>
      <c r="X66" s="108">
        <v>0</v>
      </c>
    </row>
    <row r="67" spans="1:25">
      <c r="A67" s="11"/>
      <c r="B67" s="77" t="s">
        <v>144</v>
      </c>
      <c r="C67" s="6"/>
      <c r="D67" s="35"/>
      <c r="E67" s="109">
        <v>0</v>
      </c>
      <c r="F67" s="35"/>
      <c r="G67" s="109">
        <v>0</v>
      </c>
      <c r="H67" s="35"/>
      <c r="I67" s="109">
        <v>0</v>
      </c>
      <c r="J67" s="35"/>
      <c r="K67" s="109">
        <v>-0.4</v>
      </c>
      <c r="L67" s="123"/>
      <c r="M67" s="35"/>
      <c r="N67" s="109">
        <v>1.3</v>
      </c>
      <c r="O67" s="35"/>
      <c r="P67" s="109">
        <v>0</v>
      </c>
      <c r="Q67" s="35"/>
      <c r="R67" s="109">
        <v>0</v>
      </c>
      <c r="S67" s="16"/>
      <c r="T67" s="109">
        <v>0</v>
      </c>
      <c r="U67" s="6"/>
      <c r="V67" s="109">
        <v>0</v>
      </c>
      <c r="W67" s="18"/>
      <c r="X67" s="109">
        <v>0</v>
      </c>
    </row>
    <row r="68" spans="1:25" ht="6" customHeight="1">
      <c r="A68" s="29"/>
      <c r="B68" s="6"/>
      <c r="C68" s="6"/>
      <c r="D68" s="35"/>
      <c r="E68" s="34"/>
      <c r="F68" s="35"/>
      <c r="G68" s="34"/>
      <c r="H68" s="35"/>
      <c r="I68" s="34"/>
      <c r="J68" s="35"/>
      <c r="K68" s="34"/>
      <c r="L68" s="34"/>
      <c r="M68" s="35"/>
      <c r="N68" s="34"/>
      <c r="O68" s="35"/>
      <c r="P68" s="34"/>
      <c r="Q68" s="35"/>
      <c r="R68" s="26"/>
      <c r="S68" s="12"/>
      <c r="T68" s="26"/>
      <c r="U68" s="6"/>
      <c r="V68" s="32"/>
      <c r="W68" s="18"/>
      <c r="X68" s="32"/>
    </row>
    <row r="69" spans="1:25" ht="13.8" thickBot="1">
      <c r="A69" s="11" t="s">
        <v>29</v>
      </c>
      <c r="B69" s="6"/>
      <c r="C69" s="6"/>
      <c r="D69" s="26"/>
      <c r="E69" s="33">
        <f>SUM(E55:E67)</f>
        <v>4.1999999999999797</v>
      </c>
      <c r="F69" s="26"/>
      <c r="G69" s="33">
        <f>SUM(G55:G67)</f>
        <v>50.100000000000009</v>
      </c>
      <c r="H69" s="26"/>
      <c r="I69" s="33">
        <f>SUM(I55:I67)</f>
        <v>38.099999999999994</v>
      </c>
      <c r="J69" s="26"/>
      <c r="K69" s="33">
        <f>SUM(K55:K67)</f>
        <v>84.69999999999996</v>
      </c>
      <c r="L69" s="36"/>
      <c r="M69" s="26"/>
      <c r="N69" s="33">
        <f>SUM(N55:N67)</f>
        <v>54.700000000000017</v>
      </c>
      <c r="O69" s="26"/>
      <c r="P69" s="33">
        <f>SUM(P55:P67)</f>
        <v>59.7</v>
      </c>
      <c r="Q69" s="26"/>
      <c r="R69" s="33">
        <f>SUM(R55:R67)</f>
        <v>56.300000000000026</v>
      </c>
      <c r="S69" s="26"/>
      <c r="T69" s="33">
        <f>SUM(T55:T67)</f>
        <v>60.699999999999982</v>
      </c>
      <c r="U69" s="17"/>
      <c r="V69" s="33">
        <f>SUM(V55:V67)</f>
        <v>66.000000000000014</v>
      </c>
      <c r="W69" s="32"/>
      <c r="X69" s="33">
        <f>SUM(X55:X67)</f>
        <v>61.199999999999996</v>
      </c>
    </row>
    <row r="70" spans="1:25" ht="13.8" thickTop="1">
      <c r="A70" s="29"/>
      <c r="B70" s="6"/>
      <c r="C70" s="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6"/>
      <c r="V70" s="18"/>
      <c r="W70" s="18"/>
      <c r="X70" s="18"/>
    </row>
    <row r="71" spans="1:25" ht="3.9" customHeight="1">
      <c r="A71" s="29"/>
      <c r="B71" s="6"/>
      <c r="C71" s="6"/>
      <c r="D71" s="12"/>
      <c r="E71" s="12"/>
      <c r="F71" s="12"/>
      <c r="G71" s="12"/>
      <c r="H71" s="12"/>
      <c r="I71" s="12"/>
      <c r="J71" s="12"/>
      <c r="K71" s="12"/>
      <c r="L71" s="12"/>
      <c r="M71" s="129"/>
      <c r="N71" s="38"/>
      <c r="O71" s="38"/>
      <c r="P71" s="38"/>
      <c r="Q71" s="38"/>
      <c r="R71" s="38"/>
      <c r="S71" s="38"/>
      <c r="T71" s="38"/>
      <c r="U71" s="39"/>
      <c r="V71" s="40"/>
      <c r="W71" s="40"/>
      <c r="X71" s="40"/>
      <c r="Y71" s="130"/>
    </row>
    <row r="72" spans="1:25" ht="13.8" thickBot="1">
      <c r="A72" s="11" t="s">
        <v>177</v>
      </c>
      <c r="B72" s="37"/>
      <c r="E72" s="137">
        <v>8.1</v>
      </c>
      <c r="F72" s="42"/>
      <c r="G72" s="137">
        <v>54</v>
      </c>
      <c r="H72" s="42"/>
      <c r="I72" s="137">
        <v>42</v>
      </c>
      <c r="J72" s="42"/>
      <c r="K72" s="137">
        <v>88.6</v>
      </c>
      <c r="L72" s="42"/>
      <c r="M72" s="41"/>
      <c r="N72" s="42" t="s">
        <v>174</v>
      </c>
      <c r="O72" s="42"/>
      <c r="P72" s="42"/>
      <c r="Q72" s="42"/>
      <c r="R72" s="26"/>
      <c r="S72" s="26"/>
      <c r="T72" s="26"/>
      <c r="U72" s="37"/>
      <c r="V72" s="32"/>
      <c r="W72" s="32"/>
      <c r="X72" s="32"/>
      <c r="Y72" s="131"/>
    </row>
    <row r="73" spans="1:25" ht="13.8" thickTop="1">
      <c r="A73" s="29"/>
      <c r="B73" s="37"/>
      <c r="E73" s="42"/>
      <c r="F73" s="42"/>
      <c r="G73" s="42"/>
      <c r="H73" s="42"/>
      <c r="I73" s="42"/>
      <c r="J73" s="42"/>
      <c r="K73" s="42"/>
      <c r="L73" s="42"/>
      <c r="M73" s="41"/>
      <c r="N73" s="42"/>
      <c r="O73" s="42"/>
      <c r="P73" s="42" t="s">
        <v>170</v>
      </c>
      <c r="Q73" s="42"/>
      <c r="R73" s="26"/>
      <c r="S73" s="26"/>
      <c r="T73" s="111">
        <v>4.7</v>
      </c>
      <c r="U73" s="112"/>
      <c r="V73" s="112">
        <v>7</v>
      </c>
      <c r="W73" s="112"/>
      <c r="X73" s="112">
        <v>6.9</v>
      </c>
      <c r="Y73" s="131"/>
    </row>
    <row r="74" spans="1:25">
      <c r="A74" s="44"/>
      <c r="B74" s="37"/>
      <c r="E74" s="42"/>
      <c r="F74" s="42"/>
      <c r="G74" s="42"/>
      <c r="H74" s="42"/>
      <c r="I74" s="42"/>
      <c r="J74" s="42"/>
      <c r="K74" s="42"/>
      <c r="L74" s="42"/>
      <c r="M74" s="41"/>
      <c r="N74" s="42"/>
      <c r="O74" s="42"/>
      <c r="P74" s="42" t="s">
        <v>171</v>
      </c>
      <c r="Q74" s="42"/>
      <c r="R74" s="26"/>
      <c r="S74" s="26"/>
      <c r="T74" s="111">
        <v>1.6</v>
      </c>
      <c r="U74" s="112"/>
      <c r="V74" s="112">
        <v>2.5</v>
      </c>
      <c r="W74" s="112"/>
      <c r="X74" s="112">
        <v>2.5</v>
      </c>
      <c r="Y74" s="131"/>
    </row>
    <row r="75" spans="1:25">
      <c r="A75" s="37" t="s">
        <v>184</v>
      </c>
      <c r="B75" s="42" t="s">
        <v>185</v>
      </c>
      <c r="E75" s="42"/>
      <c r="F75" s="42"/>
      <c r="G75" s="42"/>
      <c r="H75" s="42"/>
      <c r="I75" s="42"/>
      <c r="J75" s="42"/>
      <c r="K75" s="42"/>
      <c r="L75" s="42"/>
      <c r="M75" s="41"/>
      <c r="N75" s="42"/>
      <c r="O75" s="42"/>
      <c r="P75" s="42" t="s">
        <v>172</v>
      </c>
      <c r="Q75" s="42"/>
      <c r="R75" s="26"/>
      <c r="S75" s="26"/>
      <c r="T75" s="111">
        <v>2.5</v>
      </c>
      <c r="U75" s="112"/>
      <c r="V75" s="112">
        <v>-0.5</v>
      </c>
      <c r="W75" s="112"/>
      <c r="X75" s="112">
        <v>-0.5</v>
      </c>
      <c r="Y75" s="131"/>
    </row>
    <row r="76" spans="1:25">
      <c r="A76" s="45"/>
      <c r="B76" s="46"/>
      <c r="E76" s="115"/>
      <c r="F76" s="115"/>
      <c r="G76" s="115"/>
      <c r="H76" s="115"/>
      <c r="I76" s="115"/>
      <c r="J76" s="115"/>
      <c r="K76" s="115"/>
      <c r="L76" s="115"/>
      <c r="M76" s="47"/>
      <c r="N76" s="115"/>
      <c r="O76" s="115"/>
      <c r="P76" s="115" t="s">
        <v>173</v>
      </c>
      <c r="Q76" s="48"/>
      <c r="R76" s="46"/>
      <c r="S76" s="46"/>
      <c r="T76" s="113">
        <v>-0.6</v>
      </c>
      <c r="U76" s="112"/>
      <c r="V76" s="113">
        <v>-0.8</v>
      </c>
      <c r="W76" s="112"/>
      <c r="X76" s="113">
        <v>-0.8</v>
      </c>
      <c r="Y76" s="131"/>
    </row>
    <row r="77" spans="1:25">
      <c r="A77" s="45"/>
      <c r="B77" s="46"/>
      <c r="D77" s="48"/>
      <c r="E77" s="48"/>
      <c r="F77" s="48"/>
      <c r="G77" s="48"/>
      <c r="H77" s="48"/>
      <c r="I77" s="48"/>
      <c r="J77" s="48"/>
      <c r="K77" s="48"/>
      <c r="L77" s="48"/>
      <c r="M77" s="50"/>
      <c r="N77" s="48"/>
      <c r="O77" s="48"/>
      <c r="P77" s="48"/>
      <c r="Q77" s="127" t="s">
        <v>30</v>
      </c>
      <c r="R77" s="46"/>
      <c r="S77" s="46"/>
      <c r="T77" s="128">
        <f>SUM(T73:T76)</f>
        <v>8.2000000000000011</v>
      </c>
      <c r="U77" s="43"/>
      <c r="V77" s="128">
        <f>SUM(V73:V76)</f>
        <v>8.1999999999999993</v>
      </c>
      <c r="W77" s="43"/>
      <c r="X77" s="128">
        <f>SUM(X73:X76)</f>
        <v>8.1</v>
      </c>
      <c r="Y77" s="131"/>
    </row>
    <row r="78" spans="1:25">
      <c r="A78" s="45"/>
      <c r="B78" s="46"/>
      <c r="D78" s="48"/>
      <c r="E78" s="48"/>
      <c r="F78" s="48"/>
      <c r="G78" s="48"/>
      <c r="H78" s="48"/>
      <c r="I78" s="48"/>
      <c r="J78" s="48"/>
      <c r="K78" s="48"/>
      <c r="L78" s="48"/>
      <c r="M78" s="50"/>
      <c r="N78" s="48"/>
      <c r="O78" s="48"/>
      <c r="P78" s="115" t="s">
        <v>169</v>
      </c>
      <c r="Q78" s="48"/>
      <c r="R78" s="46"/>
      <c r="S78" s="46"/>
      <c r="T78" s="113">
        <v>-0.1</v>
      </c>
      <c r="U78" s="112"/>
      <c r="V78" s="113">
        <v>-1.2</v>
      </c>
      <c r="W78" s="112"/>
      <c r="X78" s="113">
        <v>-1.2</v>
      </c>
      <c r="Y78" s="131"/>
    </row>
    <row r="79" spans="1:25" ht="13.8" thickBot="1">
      <c r="A79" s="45"/>
      <c r="B79" s="46"/>
      <c r="D79" s="46"/>
      <c r="E79" s="48"/>
      <c r="F79" s="46"/>
      <c r="G79" s="48"/>
      <c r="H79" s="48"/>
      <c r="I79" s="48"/>
      <c r="J79" s="48"/>
      <c r="K79" s="48"/>
      <c r="L79" s="48"/>
      <c r="M79" s="50"/>
      <c r="N79" s="48"/>
      <c r="O79" s="48"/>
      <c r="P79" s="48"/>
      <c r="Q79" s="115" t="s">
        <v>175</v>
      </c>
      <c r="R79" s="48"/>
      <c r="S79" s="46"/>
      <c r="T79" s="125">
        <f>T77+T78</f>
        <v>8.1000000000000014</v>
      </c>
      <c r="U79" s="43"/>
      <c r="V79" s="126">
        <f>V77+V78</f>
        <v>6.9999999999999991</v>
      </c>
      <c r="W79" s="43"/>
      <c r="X79" s="126">
        <f>X77+X78</f>
        <v>6.8999999999999995</v>
      </c>
      <c r="Y79" s="131"/>
    </row>
    <row r="80" spans="1:25" ht="3.9" customHeight="1" thickTop="1">
      <c r="A80" s="45"/>
      <c r="B80" s="46"/>
      <c r="D80" s="48"/>
      <c r="E80" s="48"/>
      <c r="F80" s="48"/>
      <c r="G80" s="48"/>
      <c r="H80" s="48"/>
      <c r="I80" s="48"/>
      <c r="J80" s="48"/>
      <c r="K80" s="48"/>
      <c r="L80" s="48"/>
      <c r="M80" s="51"/>
      <c r="N80" s="52"/>
      <c r="O80" s="52"/>
      <c r="P80" s="52"/>
      <c r="Q80" s="52"/>
      <c r="R80" s="53"/>
      <c r="S80" s="53"/>
      <c r="T80" s="49"/>
      <c r="U80" s="49"/>
      <c r="V80" s="49"/>
      <c r="W80" s="49"/>
      <c r="X80" s="49"/>
      <c r="Y80" s="132"/>
    </row>
    <row r="81" spans="1:24">
      <c r="A81" s="45"/>
      <c r="B81" s="46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6"/>
      <c r="S81" s="46"/>
      <c r="T81" s="43"/>
      <c r="U81" s="43"/>
      <c r="V81" s="43"/>
      <c r="W81" s="43"/>
      <c r="X81" s="43"/>
    </row>
    <row r="82" spans="1:24">
      <c r="A82" s="44" t="str">
        <f ca="1">CELL("Filename")</f>
        <v>L:\Historical Financial Info\[DetailInc.xls]NNG-Other</v>
      </c>
      <c r="V82" s="18"/>
      <c r="W82" s="18"/>
      <c r="X82" s="124">
        <f ca="1">NOW()</f>
        <v>36836.473603935185</v>
      </c>
    </row>
    <row r="83" spans="1:24">
      <c r="A83" s="45"/>
      <c r="V83" s="18"/>
      <c r="W83" s="18"/>
      <c r="X83" s="18"/>
    </row>
    <row r="84" spans="1:24">
      <c r="V84" s="18"/>
      <c r="W84" s="18"/>
      <c r="X84" s="18"/>
    </row>
    <row r="85" spans="1:24">
      <c r="V85" s="18"/>
      <c r="W85" s="18"/>
      <c r="X85" s="18"/>
    </row>
    <row r="86" spans="1:24">
      <c r="V86" s="18"/>
      <c r="W86" s="18"/>
      <c r="X86" s="18"/>
    </row>
    <row r="87" spans="1:24">
      <c r="V87" s="18"/>
      <c r="W87" s="18"/>
      <c r="X87" s="18"/>
    </row>
    <row r="88" spans="1:24">
      <c r="V88" s="18"/>
      <c r="W88" s="18"/>
      <c r="X88" s="18"/>
    </row>
    <row r="89" spans="1:24">
      <c r="V89" s="18"/>
      <c r="W89" s="18"/>
      <c r="X89" s="18"/>
    </row>
    <row r="90" spans="1:24">
      <c r="V90" s="18"/>
      <c r="W90" s="18"/>
      <c r="X90" s="18"/>
    </row>
    <row r="91" spans="1:24">
      <c r="V91" s="18"/>
      <c r="W91" s="18"/>
      <c r="X91" s="18"/>
    </row>
    <row r="92" spans="1:24">
      <c r="V92" s="18"/>
      <c r="W92" s="18"/>
      <c r="X92" s="18"/>
    </row>
    <row r="93" spans="1:24">
      <c r="V93" s="18"/>
      <c r="W93" s="18"/>
      <c r="X93" s="18"/>
    </row>
    <row r="94" spans="1:24">
      <c r="V94" s="18"/>
      <c r="W94" s="18"/>
      <c r="X94" s="18"/>
    </row>
    <row r="95" spans="1:24">
      <c r="V95" s="18"/>
      <c r="W95" s="18"/>
      <c r="X95" s="18"/>
    </row>
    <row r="96" spans="1:24">
      <c r="V96" s="18"/>
      <c r="W96" s="18"/>
      <c r="X96" s="18"/>
    </row>
    <row r="97" spans="22:24">
      <c r="V97" s="18"/>
      <c r="W97" s="18"/>
      <c r="X97" s="18"/>
    </row>
    <row r="98" spans="22:24">
      <c r="V98" s="18"/>
      <c r="W98" s="18"/>
      <c r="X98" s="18"/>
    </row>
    <row r="99" spans="22:24">
      <c r="V99" s="18"/>
      <c r="W99" s="18"/>
      <c r="X99" s="18"/>
    </row>
    <row r="100" spans="22:24">
      <c r="V100" s="18"/>
      <c r="W100" s="18"/>
      <c r="X100" s="18"/>
    </row>
    <row r="101" spans="22:24">
      <c r="V101" s="18"/>
      <c r="W101" s="18"/>
      <c r="X101" s="18"/>
    </row>
    <row r="102" spans="22:24">
      <c r="V102" s="18"/>
      <c r="W102" s="18"/>
      <c r="X102" s="18"/>
    </row>
    <row r="103" spans="22:24">
      <c r="V103" s="18"/>
      <c r="W103" s="18"/>
      <c r="X103" s="18"/>
    </row>
    <row r="104" spans="22:24">
      <c r="V104" s="18"/>
      <c r="W104" s="18"/>
      <c r="X104" s="18"/>
    </row>
    <row r="105" spans="22:24">
      <c r="V105" s="18"/>
      <c r="W105" s="18"/>
      <c r="X105" s="18"/>
    </row>
    <row r="106" spans="22:24">
      <c r="V106" s="18"/>
      <c r="W106" s="18"/>
      <c r="X106" s="18"/>
    </row>
    <row r="107" spans="22:24">
      <c r="V107" s="18"/>
      <c r="W107" s="18"/>
      <c r="X107" s="18"/>
    </row>
    <row r="108" spans="22:24">
      <c r="V108" s="18"/>
      <c r="W108" s="18"/>
      <c r="X108" s="18"/>
    </row>
    <row r="109" spans="22:24">
      <c r="V109" s="18"/>
      <c r="W109" s="18"/>
      <c r="X109" s="18"/>
    </row>
    <row r="110" spans="22:24">
      <c r="V110" s="18"/>
      <c r="W110" s="18"/>
      <c r="X110" s="18"/>
    </row>
    <row r="111" spans="22:24">
      <c r="V111" s="18"/>
      <c r="W111" s="18"/>
      <c r="X111" s="18"/>
    </row>
    <row r="112" spans="22:24">
      <c r="V112" s="18"/>
      <c r="W112" s="18"/>
      <c r="X112" s="18"/>
    </row>
    <row r="113" spans="22:24">
      <c r="V113" s="18"/>
      <c r="W113" s="18"/>
      <c r="X113" s="18"/>
    </row>
    <row r="114" spans="22:24">
      <c r="V114" s="18"/>
      <c r="W114" s="18"/>
      <c r="X114" s="18"/>
    </row>
    <row r="115" spans="22:24">
      <c r="V115" s="18"/>
      <c r="W115" s="18"/>
      <c r="X115" s="18"/>
    </row>
    <row r="116" spans="22:24">
      <c r="V116" s="18"/>
      <c r="W116" s="18"/>
      <c r="X116" s="18"/>
    </row>
    <row r="117" spans="22:24">
      <c r="V117" s="18"/>
      <c r="W117" s="18"/>
      <c r="X117" s="18"/>
    </row>
    <row r="118" spans="22:24">
      <c r="V118" s="18"/>
      <c r="W118" s="18"/>
      <c r="X118" s="18"/>
    </row>
  </sheetData>
  <printOptions horizontalCentered="1"/>
  <pageMargins left="0.5" right="0.5" top="0.5" bottom="0.25" header="0" footer="0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6" zoomScaleNormal="100" workbookViewId="0">
      <pane xSplit="4" ySplit="2" topLeftCell="H31" activePane="bottomRight" state="frozen"/>
      <selection activeCell="A6" sqref="A6"/>
      <selection pane="topRight" activeCell="E6" sqref="E6"/>
      <selection pane="bottomLeft" activeCell="A8" sqref="A8"/>
      <selection pane="bottomRight" activeCell="Q46" sqref="Q46"/>
    </sheetView>
  </sheetViews>
  <sheetFormatPr defaultColWidth="9.109375" defaultRowHeight="13.2"/>
  <cols>
    <col min="1" max="2" width="1.6640625" style="4" customWidth="1"/>
    <col min="3" max="3" width="35.6640625" style="4" customWidth="1"/>
    <col min="4" max="4" width="5.6640625" style="4" customWidth="1"/>
    <col min="5" max="5" width="8.6640625" style="4" customWidth="1"/>
    <col min="6" max="6" width="2.6640625" style="4" customWidth="1"/>
    <col min="7" max="7" width="8.6640625" style="4" customWidth="1"/>
    <col min="8" max="8" width="2.6640625" style="4" customWidth="1"/>
    <col min="9" max="9" width="8.6640625" style="4" customWidth="1"/>
    <col min="10" max="10" width="2.6640625" style="4" customWidth="1"/>
    <col min="11" max="11" width="8.6640625" style="4" customWidth="1"/>
    <col min="12" max="12" width="2.6640625" style="4" customWidth="1"/>
    <col min="13" max="13" width="8.6640625" style="4" customWidth="1"/>
    <col min="14" max="14" width="2.6640625" style="4" customWidth="1"/>
    <col min="15" max="15" width="8.6640625" style="4" customWidth="1"/>
    <col min="16" max="16" width="2.6640625" style="4" customWidth="1"/>
    <col min="17" max="17" width="8.6640625" style="4" customWidth="1"/>
    <col min="18" max="18" width="2.6640625" style="4" customWidth="1"/>
    <col min="19" max="19" width="8.6640625" style="4" customWidth="1"/>
    <col min="20" max="20" width="2.6640625" style="4" customWidth="1"/>
    <col min="21" max="21" width="8.6640625" style="4" customWidth="1"/>
    <col min="22" max="22" width="2.6640625" style="4" customWidth="1"/>
    <col min="23" max="23" width="8.6640625" style="4" customWidth="1"/>
    <col min="24" max="16384" width="9.109375" style="4"/>
  </cols>
  <sheetData>
    <row r="1" spans="1:23" s="84" customFormat="1" ht="15.6">
      <c r="A1" s="1" t="str">
        <f>+'TW Detail NI'!A1</f>
        <v>TRANSWESTERN PIPELINE GROUP</v>
      </c>
      <c r="B1" s="1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114"/>
      <c r="V1" s="114"/>
      <c r="W1" s="114"/>
    </row>
    <row r="2" spans="1:23" s="84" customFormat="1" ht="15.6">
      <c r="A2" s="1" t="str">
        <f>+'NNG-Disc.,Assets,Reserves'!A2</f>
        <v>DETAIL OF NON RECURRING IBIT ITEMS</v>
      </c>
      <c r="B2" s="1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114"/>
      <c r="V2" s="114"/>
      <c r="W2" s="114"/>
    </row>
    <row r="3" spans="1:23">
      <c r="A3" s="5" t="str">
        <f>+'NNG-Disc.,Assets,Reserves'!A3</f>
        <v>($ Millions)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</row>
    <row r="4" spans="1:23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6"/>
      <c r="T4" s="6"/>
    </row>
    <row r="5" spans="1:23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5"/>
      <c r="Q5" s="5"/>
      <c r="R5" s="85"/>
      <c r="S5" s="86"/>
      <c r="T5" s="6"/>
    </row>
    <row r="6" spans="1:23" ht="12.75" customHeight="1">
      <c r="A6" s="2"/>
      <c r="B6" s="2"/>
      <c r="C6" s="2"/>
      <c r="D6" s="2"/>
      <c r="E6" s="68" t="str">
        <f>+'NNG Detail NI'!E6</f>
        <v>1993</v>
      </c>
      <c r="F6" s="2"/>
      <c r="G6" s="68" t="str">
        <f>+'NNG Detail NI'!G6</f>
        <v>1994</v>
      </c>
      <c r="H6" s="2"/>
      <c r="I6" s="68" t="str">
        <f>+'NNG Detail NI'!I6</f>
        <v>1995</v>
      </c>
      <c r="J6" s="2"/>
      <c r="K6" s="68" t="str">
        <f>+'NNG Detail NI'!K6</f>
        <v>1996</v>
      </c>
      <c r="L6" s="2"/>
      <c r="M6" s="68" t="str">
        <f>+'NNG Detail NI'!M6</f>
        <v>1997</v>
      </c>
      <c r="N6" s="2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V6" s="57"/>
      <c r="W6" s="68">
        <f>+'NNG Detail NI'!W6</f>
        <v>2002</v>
      </c>
    </row>
    <row r="7" spans="1:23" ht="12.75" customHeight="1">
      <c r="A7" s="6"/>
      <c r="B7" s="6"/>
      <c r="C7" s="6"/>
      <c r="D7" s="10"/>
      <c r="E7" s="72" t="str">
        <f>+'NNG Detail NI'!E7</f>
        <v>Actual</v>
      </c>
      <c r="F7" s="10"/>
      <c r="G7" s="72" t="str">
        <f>+'NNG Detail NI'!G7</f>
        <v>Actual</v>
      </c>
      <c r="H7" s="10"/>
      <c r="I7" s="72" t="str">
        <f>+'NNG Detail NI'!I7</f>
        <v>Actual</v>
      </c>
      <c r="J7" s="10"/>
      <c r="K7" s="72" t="str">
        <f>+'NNG Detail NI'!K7</f>
        <v>Actual</v>
      </c>
      <c r="L7" s="10"/>
      <c r="M7" s="72" t="str">
        <f>+'NNG Detail NI'!M7</f>
        <v>Actual</v>
      </c>
      <c r="N7" s="10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V7" s="57"/>
      <c r="W7" s="72" t="str">
        <f>+'NNG Detail NI'!W7</f>
        <v>Plan</v>
      </c>
    </row>
    <row r="8" spans="1:23" ht="12.75" customHeight="1">
      <c r="A8" s="79" t="s">
        <v>233</v>
      </c>
      <c r="B8" s="60"/>
      <c r="C8" s="60"/>
      <c r="D8" s="69"/>
      <c r="E8" s="135"/>
      <c r="F8" s="69"/>
      <c r="G8" s="135"/>
      <c r="H8" s="69"/>
      <c r="I8" s="135"/>
      <c r="J8" s="69"/>
      <c r="K8" s="135"/>
      <c r="L8" s="69"/>
      <c r="M8" s="135"/>
      <c r="N8" s="69"/>
      <c r="O8" s="135"/>
      <c r="P8" s="95"/>
      <c r="Q8" s="135"/>
      <c r="R8" s="60"/>
      <c r="S8" s="135"/>
      <c r="T8" s="60"/>
      <c r="U8" s="135"/>
      <c r="V8" s="57"/>
      <c r="W8" s="135"/>
    </row>
    <row r="9" spans="1:23" ht="12.75" customHeight="1">
      <c r="A9" s="60"/>
      <c r="B9" s="77" t="s">
        <v>97</v>
      </c>
      <c r="C9" s="77"/>
      <c r="D9" s="12"/>
      <c r="E9" s="16">
        <v>2.1</v>
      </c>
      <c r="F9" s="12"/>
      <c r="G9" s="16">
        <v>-1.4</v>
      </c>
      <c r="H9" s="12"/>
      <c r="I9" s="16">
        <v>0.4</v>
      </c>
      <c r="J9" s="12"/>
      <c r="K9" s="16">
        <v>2.5</v>
      </c>
      <c r="L9" s="12"/>
      <c r="M9" s="16">
        <v>0.7</v>
      </c>
      <c r="N9" s="12"/>
      <c r="O9" s="16">
        <v>0</v>
      </c>
      <c r="P9" s="16"/>
      <c r="Q9" s="16">
        <v>0</v>
      </c>
      <c r="R9" s="87"/>
      <c r="S9" s="16">
        <v>0</v>
      </c>
      <c r="T9" s="87"/>
      <c r="U9" s="16">
        <v>0</v>
      </c>
      <c r="V9" s="87"/>
      <c r="W9" s="16">
        <v>0</v>
      </c>
    </row>
    <row r="10" spans="1:23" ht="12.75" customHeight="1">
      <c r="A10" s="60"/>
      <c r="B10" s="77" t="s">
        <v>161</v>
      </c>
      <c r="C10" s="77"/>
      <c r="D10" s="12"/>
      <c r="E10" s="16">
        <v>3.5</v>
      </c>
      <c r="F10" s="12"/>
      <c r="G10" s="16">
        <v>3.5</v>
      </c>
      <c r="H10" s="12"/>
      <c r="I10" s="16">
        <v>3.5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87"/>
      <c r="S10" s="16">
        <v>0</v>
      </c>
      <c r="T10" s="87"/>
      <c r="U10" s="16">
        <v>0</v>
      </c>
      <c r="V10" s="87"/>
      <c r="W10" s="16">
        <v>0</v>
      </c>
    </row>
    <row r="11" spans="1:23" ht="12.75" customHeight="1">
      <c r="A11" s="60"/>
      <c r="B11" s="78" t="s">
        <v>92</v>
      </c>
      <c r="C11" s="77"/>
      <c r="D11" s="12"/>
      <c r="E11" s="30">
        <v>1.4</v>
      </c>
      <c r="F11" s="12"/>
      <c r="G11" s="30">
        <v>1.2</v>
      </c>
      <c r="H11" s="12"/>
      <c r="I11" s="30">
        <v>0.9</v>
      </c>
      <c r="J11" s="12"/>
      <c r="K11" s="30">
        <v>0.4</v>
      </c>
      <c r="L11" s="12"/>
      <c r="M11" s="30">
        <v>0.2</v>
      </c>
      <c r="N11" s="12"/>
      <c r="O11" s="30">
        <v>0</v>
      </c>
      <c r="P11" s="16"/>
      <c r="Q11" s="30">
        <v>0</v>
      </c>
      <c r="R11" s="60"/>
      <c r="S11" s="30">
        <v>0</v>
      </c>
      <c r="T11" s="66"/>
      <c r="U11" s="30">
        <v>0</v>
      </c>
      <c r="V11" s="57"/>
      <c r="W11" s="30">
        <v>0</v>
      </c>
    </row>
    <row r="12" spans="1:23" ht="3.9" customHeight="1">
      <c r="A12" s="60"/>
      <c r="B12" s="60"/>
      <c r="C12" s="60"/>
      <c r="D12" s="69"/>
      <c r="E12" s="135"/>
      <c r="F12" s="69"/>
      <c r="G12" s="135"/>
      <c r="H12" s="69"/>
      <c r="I12" s="135"/>
      <c r="J12" s="69"/>
      <c r="K12" s="135"/>
      <c r="L12" s="69"/>
      <c r="M12" s="135"/>
      <c r="N12" s="69"/>
      <c r="O12" s="135"/>
      <c r="P12" s="95"/>
      <c r="Q12" s="135"/>
      <c r="R12" s="60"/>
      <c r="S12" s="135"/>
      <c r="T12" s="60"/>
      <c r="U12" s="135"/>
      <c r="V12" s="57"/>
      <c r="W12" s="135"/>
    </row>
    <row r="13" spans="1:23" ht="12.75" customHeight="1" thickBot="1">
      <c r="A13" s="60"/>
      <c r="B13" s="60"/>
      <c r="C13" s="73" t="s">
        <v>234</v>
      </c>
      <c r="D13" s="20"/>
      <c r="E13" s="33">
        <f>SUM(E9:E11)</f>
        <v>7</v>
      </c>
      <c r="F13" s="20"/>
      <c r="G13" s="33">
        <f>SUM(G9:G11)</f>
        <v>3.3</v>
      </c>
      <c r="H13" s="20"/>
      <c r="I13" s="33">
        <f>SUM(I9:I11)</f>
        <v>4.8</v>
      </c>
      <c r="J13" s="20"/>
      <c r="K13" s="33">
        <f>SUM(K9:K11)</f>
        <v>2.9</v>
      </c>
      <c r="L13" s="20"/>
      <c r="M13" s="33">
        <f>SUM(M9:M11)</f>
        <v>0.89999999999999991</v>
      </c>
      <c r="N13" s="20"/>
      <c r="O13" s="33">
        <f>SUM(O9:O11)</f>
        <v>0</v>
      </c>
      <c r="P13" s="36"/>
      <c r="Q13" s="33">
        <f>SUM(Q9:Q11)</f>
        <v>0</v>
      </c>
      <c r="R13" s="60"/>
      <c r="S13" s="33">
        <f>SUM(S9:S11)</f>
        <v>0</v>
      </c>
      <c r="T13" s="75"/>
      <c r="U13" s="33">
        <f>SUM(U9:U11)</f>
        <v>0</v>
      </c>
      <c r="V13" s="57"/>
      <c r="W13" s="33">
        <f>SUM(W9:W11)</f>
        <v>0</v>
      </c>
    </row>
    <row r="14" spans="1:23" ht="12.75" customHeight="1" thickTop="1">
      <c r="A14" s="6"/>
      <c r="B14" s="6"/>
      <c r="C14" s="6"/>
      <c r="D14" s="10"/>
      <c r="E14" s="135"/>
      <c r="F14" s="10"/>
      <c r="G14" s="135"/>
      <c r="H14" s="10"/>
      <c r="I14" s="135"/>
      <c r="J14" s="10"/>
      <c r="K14" s="135"/>
      <c r="L14" s="10"/>
      <c r="M14" s="135"/>
      <c r="N14" s="10"/>
      <c r="O14" s="135"/>
      <c r="P14" s="95"/>
      <c r="Q14" s="135"/>
      <c r="R14" s="60"/>
      <c r="S14" s="135"/>
      <c r="T14" s="60"/>
      <c r="U14" s="135"/>
      <c r="V14" s="57"/>
      <c r="W14" s="135"/>
    </row>
    <row r="15" spans="1:23" ht="12.75" customHeight="1">
      <c r="A15" s="29" t="s">
        <v>57</v>
      </c>
      <c r="B15" s="6"/>
      <c r="C15" s="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"/>
      <c r="S15" s="12"/>
      <c r="T15" s="6"/>
    </row>
    <row r="16" spans="1:23">
      <c r="A16" s="6"/>
      <c r="B16" s="14" t="s">
        <v>58</v>
      </c>
      <c r="C16" s="6"/>
      <c r="D16" s="12"/>
      <c r="E16" s="16">
        <v>0</v>
      </c>
      <c r="F16" s="12"/>
      <c r="G16" s="16">
        <v>0</v>
      </c>
      <c r="H16" s="12"/>
      <c r="I16" s="16">
        <v>0</v>
      </c>
      <c r="J16" s="12"/>
      <c r="K16" s="16">
        <v>0</v>
      </c>
      <c r="L16" s="12"/>
      <c r="M16" s="16">
        <v>0</v>
      </c>
      <c r="N16" s="12"/>
      <c r="O16" s="16">
        <v>0</v>
      </c>
      <c r="P16" s="16"/>
      <c r="Q16" s="16">
        <v>1.9</v>
      </c>
      <c r="R16" s="87"/>
      <c r="S16" s="16">
        <v>0</v>
      </c>
      <c r="T16" s="6"/>
      <c r="U16" s="16">
        <v>0</v>
      </c>
      <c r="W16" s="16">
        <v>0</v>
      </c>
    </row>
    <row r="17" spans="1:23">
      <c r="A17" s="6"/>
      <c r="B17" s="14" t="s">
        <v>140</v>
      </c>
      <c r="C17" s="6"/>
      <c r="D17" s="12"/>
      <c r="E17" s="16">
        <v>0</v>
      </c>
      <c r="F17" s="12"/>
      <c r="G17" s="16">
        <v>0</v>
      </c>
      <c r="H17" s="12"/>
      <c r="I17" s="16">
        <v>0</v>
      </c>
      <c r="J17" s="12"/>
      <c r="K17" s="16">
        <v>0</v>
      </c>
      <c r="L17" s="12"/>
      <c r="M17" s="16">
        <v>0.2</v>
      </c>
      <c r="N17" s="12"/>
      <c r="O17" s="16">
        <v>0</v>
      </c>
      <c r="P17" s="16"/>
      <c r="Q17" s="16">
        <v>0</v>
      </c>
      <c r="R17" s="87"/>
      <c r="S17" s="16">
        <v>0</v>
      </c>
      <c r="T17" s="6"/>
      <c r="U17" s="16">
        <v>0</v>
      </c>
      <c r="W17" s="16">
        <v>0</v>
      </c>
    </row>
    <row r="18" spans="1:23">
      <c r="A18" s="6"/>
      <c r="B18" s="25" t="s">
        <v>59</v>
      </c>
      <c r="C18" s="6"/>
      <c r="D18" s="12"/>
      <c r="E18" s="16">
        <v>0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0</v>
      </c>
      <c r="R18" s="87"/>
      <c r="S18" s="16">
        <v>2.5</v>
      </c>
      <c r="T18" s="6"/>
      <c r="U18" s="16">
        <v>0</v>
      </c>
      <c r="W18" s="16">
        <v>0</v>
      </c>
    </row>
    <row r="19" spans="1:23">
      <c r="A19" s="6"/>
      <c r="B19" s="25" t="s">
        <v>150</v>
      </c>
      <c r="C19" s="6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</v>
      </c>
      <c r="R19" s="87"/>
      <c r="S19" s="16">
        <v>0.5</v>
      </c>
      <c r="T19" s="6"/>
      <c r="U19" s="16">
        <v>0</v>
      </c>
      <c r="W19" s="16">
        <v>0</v>
      </c>
    </row>
    <row r="20" spans="1:23">
      <c r="A20" s="6"/>
      <c r="B20" s="14" t="s">
        <v>151</v>
      </c>
      <c r="C20" s="6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3.6</v>
      </c>
      <c r="L20" s="12"/>
      <c r="M20" s="16">
        <v>0</v>
      </c>
      <c r="N20" s="12"/>
      <c r="O20" s="16">
        <v>0</v>
      </c>
      <c r="P20" s="16"/>
      <c r="Q20" s="16">
        <v>0</v>
      </c>
      <c r="R20" s="87"/>
      <c r="S20" s="16">
        <v>0</v>
      </c>
      <c r="T20" s="6"/>
      <c r="U20" s="16">
        <v>0</v>
      </c>
      <c r="W20" s="16">
        <v>0</v>
      </c>
    </row>
    <row r="21" spans="1:23">
      <c r="A21" s="6"/>
      <c r="B21" s="88" t="s">
        <v>60</v>
      </c>
      <c r="C21" s="6"/>
      <c r="D21" s="12"/>
      <c r="E21" s="30">
        <v>0</v>
      </c>
      <c r="F21" s="12"/>
      <c r="G21" s="30">
        <v>0</v>
      </c>
      <c r="H21" s="12"/>
      <c r="I21" s="30">
        <v>0</v>
      </c>
      <c r="J21" s="12"/>
      <c r="K21" s="30">
        <v>0</v>
      </c>
      <c r="L21" s="12"/>
      <c r="M21" s="30">
        <v>0</v>
      </c>
      <c r="N21" s="12"/>
      <c r="O21" s="30">
        <v>0</v>
      </c>
      <c r="P21" s="15"/>
      <c r="Q21" s="30">
        <v>0</v>
      </c>
      <c r="R21" s="87"/>
      <c r="S21" s="30">
        <v>0</v>
      </c>
      <c r="T21" s="6"/>
      <c r="U21" s="30">
        <v>5</v>
      </c>
      <c r="V21" s="89"/>
      <c r="W21" s="30">
        <v>5</v>
      </c>
    </row>
    <row r="22" spans="1:23" ht="3.9" customHeight="1">
      <c r="A22" s="6"/>
      <c r="B22" s="6"/>
      <c r="C22" s="6"/>
      <c r="D22" s="12"/>
      <c r="E22" s="26"/>
      <c r="F22" s="12"/>
      <c r="G22" s="26"/>
      <c r="H22" s="12"/>
      <c r="I22" s="26"/>
      <c r="J22" s="12"/>
      <c r="K22" s="26"/>
      <c r="L22" s="12"/>
      <c r="M22" s="26"/>
      <c r="N22" s="12"/>
      <c r="O22" s="26"/>
      <c r="P22" s="12"/>
      <c r="Q22" s="26"/>
      <c r="R22" s="6"/>
      <c r="S22" s="26"/>
      <c r="T22" s="6"/>
    </row>
    <row r="23" spans="1:23" ht="13.8" thickBot="1">
      <c r="A23" s="6"/>
      <c r="B23" s="6"/>
      <c r="C23" s="11" t="s">
        <v>61</v>
      </c>
      <c r="D23" s="20"/>
      <c r="E23" s="33">
        <f>SUM(E16:E22)</f>
        <v>0</v>
      </c>
      <c r="F23" s="20"/>
      <c r="G23" s="33">
        <f>SUM(G16:G22)</f>
        <v>0</v>
      </c>
      <c r="H23" s="20"/>
      <c r="I23" s="33">
        <f>SUM(I16:I22)</f>
        <v>0</v>
      </c>
      <c r="J23" s="20"/>
      <c r="K23" s="33">
        <f>SUM(K16:K22)</f>
        <v>3.6</v>
      </c>
      <c r="L23" s="20"/>
      <c r="M23" s="33">
        <f>SUM(M16:M22)</f>
        <v>0.2</v>
      </c>
      <c r="N23" s="20"/>
      <c r="O23" s="33">
        <f>SUM(O16:O22)</f>
        <v>0</v>
      </c>
      <c r="P23" s="20"/>
      <c r="Q23" s="33">
        <f>SUM(Q16:Q22)</f>
        <v>1.9</v>
      </c>
      <c r="R23" s="6"/>
      <c r="S23" s="33">
        <f>SUM(S16:S22)</f>
        <v>3</v>
      </c>
      <c r="T23" s="22"/>
      <c r="U23" s="33">
        <f>SUM(U16:U22)</f>
        <v>5</v>
      </c>
      <c r="W23" s="33">
        <f>SUM(W16:W22)</f>
        <v>5</v>
      </c>
    </row>
    <row r="24" spans="1:23" ht="13.8" thickTop="1">
      <c r="A24" s="6"/>
      <c r="B24" s="6"/>
      <c r="C24" s="25"/>
      <c r="D24" s="20"/>
      <c r="E24" s="36"/>
      <c r="F24" s="20"/>
      <c r="G24" s="36"/>
      <c r="H24" s="20"/>
      <c r="I24" s="36"/>
      <c r="J24" s="20"/>
      <c r="K24" s="36"/>
      <c r="L24" s="20"/>
      <c r="M24" s="36"/>
      <c r="N24" s="20"/>
      <c r="O24" s="36"/>
      <c r="P24" s="20"/>
      <c r="Q24" s="36"/>
      <c r="R24" s="6"/>
      <c r="S24" s="36"/>
      <c r="T24" s="22"/>
      <c r="U24" s="36"/>
      <c r="W24" s="36"/>
    </row>
    <row r="25" spans="1:23">
      <c r="A25" s="79" t="s">
        <v>78</v>
      </c>
      <c r="B25" s="60"/>
      <c r="C25" s="6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60"/>
      <c r="S25" s="12"/>
      <c r="T25" s="60"/>
      <c r="U25" s="57"/>
      <c r="V25" s="57"/>
      <c r="W25" s="57"/>
    </row>
    <row r="26" spans="1:23">
      <c r="A26" s="60"/>
      <c r="B26" s="77" t="s">
        <v>164</v>
      </c>
      <c r="C26" s="60"/>
      <c r="D26" s="12"/>
      <c r="E26" s="16">
        <v>-3.6</v>
      </c>
      <c r="F26" s="12"/>
      <c r="G26" s="16">
        <v>3.6</v>
      </c>
      <c r="H26" s="12"/>
      <c r="I26" s="16">
        <v>0</v>
      </c>
      <c r="J26" s="12"/>
      <c r="K26" s="16">
        <v>0</v>
      </c>
      <c r="L26" s="12"/>
      <c r="M26" s="16">
        <v>0</v>
      </c>
      <c r="N26" s="12"/>
      <c r="O26" s="16">
        <v>0</v>
      </c>
      <c r="P26" s="16"/>
      <c r="Q26" s="16">
        <v>0</v>
      </c>
      <c r="R26" s="66"/>
      <c r="S26" s="16">
        <v>0</v>
      </c>
      <c r="T26" s="60"/>
      <c r="U26" s="16">
        <v>0</v>
      </c>
      <c r="V26" s="57"/>
      <c r="W26" s="16">
        <v>0</v>
      </c>
    </row>
    <row r="27" spans="1:23">
      <c r="A27" s="60"/>
      <c r="B27" s="78" t="s">
        <v>133</v>
      </c>
      <c r="C27" s="60"/>
      <c r="D27" s="12"/>
      <c r="E27" s="16">
        <v>-12.9</v>
      </c>
      <c r="F27" s="12"/>
      <c r="G27" s="16">
        <v>2.7</v>
      </c>
      <c r="H27" s="12"/>
      <c r="I27" s="16">
        <v>6.5</v>
      </c>
      <c r="J27" s="12"/>
      <c r="K27" s="16">
        <v>2.2999999999999998</v>
      </c>
      <c r="L27" s="12"/>
      <c r="M27" s="16">
        <v>1.4</v>
      </c>
      <c r="N27" s="12"/>
      <c r="O27" s="16">
        <v>0</v>
      </c>
      <c r="P27" s="16"/>
      <c r="Q27" s="16">
        <v>0</v>
      </c>
      <c r="R27" s="66"/>
      <c r="S27" s="16">
        <v>0</v>
      </c>
      <c r="T27" s="60"/>
      <c r="U27" s="16">
        <v>0</v>
      </c>
      <c r="V27" s="57"/>
      <c r="W27" s="16">
        <v>0</v>
      </c>
    </row>
    <row r="28" spans="1:23">
      <c r="A28" s="60"/>
      <c r="B28" s="73" t="s">
        <v>158</v>
      </c>
      <c r="C28" s="60"/>
      <c r="D28" s="12"/>
      <c r="E28" s="16">
        <v>0</v>
      </c>
      <c r="F28" s="12"/>
      <c r="G28" s="16">
        <v>0</v>
      </c>
      <c r="H28" s="12"/>
      <c r="I28" s="133">
        <v>-2</v>
      </c>
      <c r="J28" s="12"/>
      <c r="K28" s="133">
        <v>2</v>
      </c>
      <c r="L28" s="12"/>
      <c r="M28" s="16">
        <v>0</v>
      </c>
      <c r="N28" s="12"/>
      <c r="O28" s="16">
        <v>0</v>
      </c>
      <c r="P28" s="16"/>
      <c r="Q28" s="16">
        <v>0</v>
      </c>
      <c r="R28" s="66"/>
      <c r="S28" s="16">
        <v>0</v>
      </c>
      <c r="T28" s="60"/>
      <c r="U28" s="16">
        <v>0</v>
      </c>
      <c r="V28" s="57"/>
      <c r="W28" s="16">
        <v>0</v>
      </c>
    </row>
    <row r="29" spans="1:23">
      <c r="A29" s="60"/>
      <c r="B29" s="77" t="s">
        <v>149</v>
      </c>
      <c r="C29" s="60"/>
      <c r="D29" s="12"/>
      <c r="E29" s="16">
        <v>0</v>
      </c>
      <c r="F29" s="12"/>
      <c r="G29" s="16">
        <v>0</v>
      </c>
      <c r="H29" s="12"/>
      <c r="I29" s="16">
        <v>-11</v>
      </c>
      <c r="J29" s="12"/>
      <c r="K29" s="16">
        <v>11</v>
      </c>
      <c r="L29" s="12"/>
      <c r="M29" s="16">
        <v>0</v>
      </c>
      <c r="N29" s="12"/>
      <c r="O29" s="16">
        <v>0</v>
      </c>
      <c r="P29" s="16"/>
      <c r="Q29" s="16">
        <v>0</v>
      </c>
      <c r="R29" s="66"/>
      <c r="S29" s="16">
        <v>0</v>
      </c>
      <c r="T29" s="60"/>
      <c r="U29" s="16">
        <v>0</v>
      </c>
      <c r="V29" s="57"/>
      <c r="W29" s="16">
        <v>0</v>
      </c>
    </row>
    <row r="30" spans="1:23">
      <c r="A30" s="60"/>
      <c r="B30" s="78" t="s">
        <v>153</v>
      </c>
      <c r="C30" s="60"/>
      <c r="D30" s="12"/>
      <c r="E30" s="16">
        <v>-1.5</v>
      </c>
      <c r="F30" s="12"/>
      <c r="G30" s="16">
        <v>-3.8</v>
      </c>
      <c r="H30" s="12"/>
      <c r="I30" s="16">
        <v>-2.2999999999999998</v>
      </c>
      <c r="J30" s="12"/>
      <c r="K30" s="16">
        <v>7.6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v>0</v>
      </c>
      <c r="T30" s="60"/>
      <c r="U30" s="16">
        <v>0</v>
      </c>
      <c r="V30" s="57"/>
      <c r="W30" s="16">
        <v>0</v>
      </c>
    </row>
    <row r="31" spans="1:23">
      <c r="A31" s="60"/>
      <c r="B31" s="60" t="s">
        <v>154</v>
      </c>
      <c r="C31" s="57"/>
      <c r="D31" s="12"/>
      <c r="E31" s="16">
        <v>-8.9</v>
      </c>
      <c r="F31" s="12"/>
      <c r="G31" s="16">
        <v>0.5</v>
      </c>
      <c r="H31" s="12"/>
      <c r="I31" s="16">
        <v>0</v>
      </c>
      <c r="J31" s="12"/>
      <c r="K31" s="16">
        <v>8.4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</v>
      </c>
      <c r="T31" s="60"/>
      <c r="U31" s="16">
        <v>0</v>
      </c>
      <c r="V31" s="66"/>
      <c r="W31" s="16">
        <v>0</v>
      </c>
    </row>
    <row r="32" spans="1:23">
      <c r="A32" s="60"/>
      <c r="B32" s="25" t="s">
        <v>130</v>
      </c>
      <c r="C32" s="60"/>
      <c r="D32" s="12"/>
      <c r="E32" s="30">
        <v>0</v>
      </c>
      <c r="F32" s="12"/>
      <c r="G32" s="30">
        <v>0</v>
      </c>
      <c r="H32" s="12"/>
      <c r="I32" s="30">
        <v>0</v>
      </c>
      <c r="J32" s="12"/>
      <c r="K32" s="30">
        <v>0</v>
      </c>
      <c r="L32" s="12"/>
      <c r="M32" s="30">
        <v>0</v>
      </c>
      <c r="N32" s="12"/>
      <c r="O32" s="30">
        <v>0.2</v>
      </c>
      <c r="P32" s="15"/>
      <c r="Q32" s="30">
        <v>0</v>
      </c>
      <c r="R32" s="66"/>
      <c r="S32" s="30">
        <v>0</v>
      </c>
      <c r="T32" s="60"/>
      <c r="U32" s="30">
        <v>0</v>
      </c>
      <c r="V32" s="66"/>
      <c r="W32" s="30">
        <v>0</v>
      </c>
    </row>
    <row r="33" spans="1:23" ht="3.9" customHeight="1">
      <c r="A33" s="60"/>
      <c r="B33" s="60"/>
      <c r="C33" s="60"/>
      <c r="D33" s="12"/>
      <c r="E33" s="26"/>
      <c r="F33" s="12"/>
      <c r="G33" s="26"/>
      <c r="H33" s="12"/>
      <c r="I33" s="26"/>
      <c r="J33" s="12"/>
      <c r="K33" s="26"/>
      <c r="L33" s="12"/>
      <c r="M33" s="26"/>
      <c r="N33" s="12"/>
      <c r="O33" s="26"/>
      <c r="P33" s="26"/>
      <c r="Q33" s="26"/>
      <c r="R33" s="60"/>
      <c r="S33" s="26"/>
      <c r="T33" s="60"/>
      <c r="U33" s="26"/>
      <c r="V33" s="57"/>
      <c r="W33" s="26"/>
    </row>
    <row r="34" spans="1:23" ht="13.8" thickBot="1">
      <c r="A34" s="60"/>
      <c r="B34" s="60"/>
      <c r="C34" s="79" t="s">
        <v>79</v>
      </c>
      <c r="D34" s="20"/>
      <c r="E34" s="33">
        <f>SUM(E26:E32)</f>
        <v>-26.9</v>
      </c>
      <c r="F34" s="20"/>
      <c r="G34" s="33">
        <f>SUM(G26:G32)</f>
        <v>3.0000000000000009</v>
      </c>
      <c r="H34" s="20"/>
      <c r="I34" s="33">
        <f>SUM(I26:I32)</f>
        <v>-8.8000000000000007</v>
      </c>
      <c r="J34" s="20"/>
      <c r="K34" s="33">
        <f>SUM(K26:K32)</f>
        <v>31.299999999999997</v>
      </c>
      <c r="L34" s="20"/>
      <c r="M34" s="33">
        <f>SUM(M26:M32)</f>
        <v>1.4</v>
      </c>
      <c r="N34" s="20"/>
      <c r="O34" s="33">
        <f>SUM(O26:O32)</f>
        <v>0.2</v>
      </c>
      <c r="P34" s="36"/>
      <c r="Q34" s="33">
        <f>SUM(Q26:Q32)</f>
        <v>0</v>
      </c>
      <c r="R34" s="60"/>
      <c r="S34" s="33">
        <f>SUM(S26:S32)</f>
        <v>0</v>
      </c>
      <c r="T34" s="75"/>
      <c r="U34" s="33">
        <f>SUM(U26:U32)</f>
        <v>0</v>
      </c>
      <c r="V34" s="57"/>
      <c r="W34" s="33">
        <f>SUM(W26:W32)</f>
        <v>0</v>
      </c>
    </row>
    <row r="35" spans="1:23" ht="13.8" thickTop="1">
      <c r="A35" s="6"/>
      <c r="B35" s="6"/>
      <c r="C35" s="25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36"/>
      <c r="P35" s="20"/>
      <c r="Q35" s="36"/>
      <c r="R35" s="6"/>
      <c r="S35" s="36"/>
      <c r="T35" s="22"/>
      <c r="U35" s="36"/>
      <c r="W35" s="36"/>
    </row>
    <row r="36" spans="1:23" ht="12.75" customHeight="1">
      <c r="A36" s="29" t="s">
        <v>62</v>
      </c>
      <c r="B36" s="6"/>
      <c r="C36" s="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6"/>
      <c r="S36" s="12"/>
      <c r="T36" s="6"/>
    </row>
    <row r="37" spans="1:23" ht="12.75" customHeight="1">
      <c r="A37" s="29"/>
      <c r="B37" s="25" t="s">
        <v>127</v>
      </c>
      <c r="C37" s="6"/>
      <c r="D37" s="12"/>
      <c r="E37" s="16">
        <v>0</v>
      </c>
      <c r="F37" s="12"/>
      <c r="G37" s="16">
        <v>0</v>
      </c>
      <c r="H37" s="12"/>
      <c r="I37" s="16">
        <v>0</v>
      </c>
      <c r="J37" s="12"/>
      <c r="K37" s="16">
        <v>0</v>
      </c>
      <c r="L37" s="12"/>
      <c r="M37" s="16">
        <v>0</v>
      </c>
      <c r="N37" s="12"/>
      <c r="O37" s="16">
        <v>3.1</v>
      </c>
      <c r="P37" s="16"/>
      <c r="Q37" s="16">
        <v>0</v>
      </c>
      <c r="R37" s="87"/>
      <c r="S37" s="16">
        <v>0</v>
      </c>
      <c r="T37" s="87"/>
      <c r="U37" s="16">
        <v>0</v>
      </c>
      <c r="V37" s="87"/>
      <c r="W37" s="16">
        <v>0</v>
      </c>
    </row>
    <row r="38" spans="1:23" ht="12.75" customHeight="1">
      <c r="A38" s="29"/>
      <c r="B38" s="78" t="s">
        <v>165</v>
      </c>
      <c r="C38" s="6"/>
      <c r="D38" s="12"/>
      <c r="E38" s="16">
        <v>0</v>
      </c>
      <c r="F38" s="12"/>
      <c r="G38" s="16">
        <v>5</v>
      </c>
      <c r="H38" s="12"/>
      <c r="I38" s="16">
        <v>0</v>
      </c>
      <c r="J38" s="12"/>
      <c r="K38" s="16">
        <v>0</v>
      </c>
      <c r="L38" s="12"/>
      <c r="M38" s="16">
        <v>0</v>
      </c>
      <c r="N38" s="12"/>
      <c r="O38" s="16">
        <v>0</v>
      </c>
      <c r="P38" s="16"/>
      <c r="Q38" s="16">
        <v>0</v>
      </c>
      <c r="R38" s="87"/>
      <c r="S38" s="16">
        <v>0</v>
      </c>
      <c r="T38" s="87"/>
      <c r="U38" s="16">
        <v>0</v>
      </c>
      <c r="V38" s="87"/>
      <c r="W38" s="16">
        <v>0</v>
      </c>
    </row>
    <row r="39" spans="1:23" ht="12.75" customHeight="1">
      <c r="A39" s="29"/>
      <c r="B39" s="88" t="s">
        <v>166</v>
      </c>
      <c r="E39" s="15">
        <v>0</v>
      </c>
      <c r="F39" s="26"/>
      <c r="G39" s="15">
        <v>0</v>
      </c>
      <c r="H39" s="26"/>
      <c r="I39" s="15">
        <v>0</v>
      </c>
      <c r="J39" s="26"/>
      <c r="K39" s="15">
        <v>-1.4</v>
      </c>
      <c r="L39" s="26"/>
      <c r="M39" s="15">
        <v>1.4</v>
      </c>
      <c r="N39" s="26"/>
      <c r="O39" s="15">
        <v>0</v>
      </c>
      <c r="P39" s="15"/>
      <c r="Q39" s="15">
        <v>0</v>
      </c>
      <c r="R39" s="90"/>
      <c r="S39" s="16">
        <v>0</v>
      </c>
      <c r="T39" s="6"/>
      <c r="U39" s="16">
        <v>0</v>
      </c>
      <c r="W39" s="16">
        <v>0</v>
      </c>
    </row>
    <row r="40" spans="1:23" ht="12.75" customHeight="1">
      <c r="A40" s="29"/>
      <c r="B40" s="25" t="s">
        <v>119</v>
      </c>
      <c r="C40" s="6"/>
      <c r="D40" s="12"/>
      <c r="E40" s="16">
        <v>0</v>
      </c>
      <c r="F40" s="12"/>
      <c r="G40" s="16">
        <v>0</v>
      </c>
      <c r="H40" s="12"/>
      <c r="I40" s="16">
        <v>0</v>
      </c>
      <c r="J40" s="12"/>
      <c r="K40" s="16">
        <v>0</v>
      </c>
      <c r="L40" s="12"/>
      <c r="M40" s="16">
        <v>0</v>
      </c>
      <c r="N40" s="12"/>
      <c r="O40" s="16">
        <v>0.2</v>
      </c>
      <c r="P40" s="16"/>
      <c r="Q40" s="16">
        <v>0</v>
      </c>
      <c r="R40" s="87"/>
      <c r="S40" s="16">
        <v>0</v>
      </c>
      <c r="T40" s="87"/>
      <c r="U40" s="16">
        <v>0</v>
      </c>
      <c r="V40" s="87"/>
      <c r="W40" s="16">
        <v>0</v>
      </c>
    </row>
    <row r="41" spans="1:23" ht="12.75" customHeight="1">
      <c r="A41" s="29"/>
      <c r="B41" s="25" t="s">
        <v>131</v>
      </c>
      <c r="C41" s="6"/>
      <c r="D41" s="12"/>
      <c r="E41" s="16">
        <v>0</v>
      </c>
      <c r="F41" s="12"/>
      <c r="G41" s="16">
        <v>0</v>
      </c>
      <c r="H41" s="12"/>
      <c r="I41" s="16">
        <v>0</v>
      </c>
      <c r="J41" s="12"/>
      <c r="K41" s="16">
        <v>0</v>
      </c>
      <c r="L41" s="12"/>
      <c r="M41" s="16">
        <v>0</v>
      </c>
      <c r="N41" s="12"/>
      <c r="O41" s="16">
        <v>0.2</v>
      </c>
      <c r="P41" s="16"/>
      <c r="Q41" s="16">
        <v>0</v>
      </c>
      <c r="R41" s="87"/>
      <c r="S41" s="16">
        <v>0</v>
      </c>
      <c r="T41" s="87"/>
      <c r="U41" s="16">
        <v>0</v>
      </c>
      <c r="V41" s="87"/>
      <c r="W41" s="16">
        <v>0</v>
      </c>
    </row>
    <row r="42" spans="1:23" ht="12.75" customHeight="1">
      <c r="A42" s="29"/>
      <c r="B42" s="25" t="s">
        <v>126</v>
      </c>
      <c r="C42" s="6"/>
      <c r="D42" s="26"/>
      <c r="E42" s="16">
        <v>0</v>
      </c>
      <c r="F42" s="26"/>
      <c r="G42" s="16">
        <v>0</v>
      </c>
      <c r="H42" s="26"/>
      <c r="I42" s="16">
        <v>0</v>
      </c>
      <c r="J42" s="26"/>
      <c r="K42" s="16">
        <v>0</v>
      </c>
      <c r="L42" s="26"/>
      <c r="M42" s="16">
        <v>0</v>
      </c>
      <c r="N42" s="26"/>
      <c r="O42" s="16">
        <v>0</v>
      </c>
      <c r="P42" s="15"/>
      <c r="Q42" s="74">
        <f>3.6-0.4</f>
        <v>3.2</v>
      </c>
      <c r="R42" s="90"/>
      <c r="S42" s="16">
        <v>-0.3</v>
      </c>
      <c r="T42" s="6"/>
      <c r="U42" s="16">
        <v>0</v>
      </c>
      <c r="W42" s="16">
        <v>0</v>
      </c>
    </row>
    <row r="43" spans="1:23" ht="12.75" customHeight="1">
      <c r="A43" s="29"/>
      <c r="B43" s="25" t="s">
        <v>168</v>
      </c>
      <c r="C43" s="6"/>
      <c r="D43" s="26"/>
      <c r="E43" s="16">
        <v>0</v>
      </c>
      <c r="F43" s="26"/>
      <c r="G43" s="16">
        <v>0</v>
      </c>
      <c r="H43" s="26"/>
      <c r="I43" s="16">
        <v>0</v>
      </c>
      <c r="J43" s="26"/>
      <c r="K43" s="16">
        <v>0</v>
      </c>
      <c r="L43" s="26"/>
      <c r="M43" s="16">
        <v>0</v>
      </c>
      <c r="N43" s="26"/>
      <c r="O43" s="16">
        <v>0</v>
      </c>
      <c r="P43" s="15"/>
      <c r="Q43" s="120">
        <v>-0.4</v>
      </c>
      <c r="R43" s="90"/>
      <c r="S43" s="16">
        <v>0</v>
      </c>
      <c r="T43" s="6"/>
      <c r="U43" s="16">
        <v>0</v>
      </c>
      <c r="W43" s="16">
        <v>0</v>
      </c>
    </row>
    <row r="44" spans="1:23" ht="12.75" customHeight="1">
      <c r="A44" s="29"/>
      <c r="B44" s="25" t="s">
        <v>111</v>
      </c>
      <c r="C44" s="6"/>
      <c r="D44" s="26"/>
      <c r="E44" s="16">
        <v>0</v>
      </c>
      <c r="F44" s="26"/>
      <c r="G44" s="16">
        <v>0</v>
      </c>
      <c r="H44" s="26"/>
      <c r="I44" s="16">
        <v>0</v>
      </c>
      <c r="J44" s="26"/>
      <c r="K44" s="16">
        <v>0</v>
      </c>
      <c r="L44" s="26"/>
      <c r="M44" s="16">
        <v>0</v>
      </c>
      <c r="N44" s="26"/>
      <c r="O44" s="16">
        <v>0</v>
      </c>
      <c r="P44" s="15"/>
      <c r="Q44" s="120">
        <v>-0.2</v>
      </c>
      <c r="R44" s="90"/>
      <c r="S44" s="16">
        <v>0</v>
      </c>
      <c r="T44" s="6"/>
      <c r="U44" s="16">
        <v>0</v>
      </c>
      <c r="W44" s="16">
        <v>0</v>
      </c>
    </row>
    <row r="45" spans="1:23" ht="12.75" customHeight="1">
      <c r="A45" s="29"/>
      <c r="B45" s="77" t="s">
        <v>188</v>
      </c>
      <c r="C45" s="6"/>
      <c r="D45" s="26"/>
      <c r="E45" s="16">
        <v>0</v>
      </c>
      <c r="F45" s="26"/>
      <c r="G45" s="16">
        <v>0</v>
      </c>
      <c r="H45" s="26"/>
      <c r="I45" s="16">
        <v>0</v>
      </c>
      <c r="J45" s="26"/>
      <c r="K45" s="16">
        <v>0</v>
      </c>
      <c r="L45" s="26"/>
      <c r="M45" s="16">
        <v>0</v>
      </c>
      <c r="N45" s="26"/>
      <c r="O45" s="16">
        <v>0</v>
      </c>
      <c r="P45" s="15"/>
      <c r="Q45" s="120">
        <v>-0.2</v>
      </c>
      <c r="R45" s="90"/>
      <c r="S45" s="16">
        <v>0</v>
      </c>
      <c r="T45" s="6"/>
      <c r="U45" s="16">
        <v>0</v>
      </c>
      <c r="W45" s="16">
        <v>0</v>
      </c>
    </row>
    <row r="46" spans="1:23" ht="12.75" customHeight="1">
      <c r="A46" s="29"/>
      <c r="B46" s="77" t="s">
        <v>241</v>
      </c>
      <c r="C46" s="60"/>
      <c r="D46" s="26"/>
      <c r="E46" s="15">
        <v>0</v>
      </c>
      <c r="F46" s="26"/>
      <c r="G46" s="15">
        <v>0</v>
      </c>
      <c r="H46" s="26"/>
      <c r="I46" s="15">
        <v>0</v>
      </c>
      <c r="J46" s="26"/>
      <c r="K46" s="15">
        <v>0</v>
      </c>
      <c r="L46" s="26"/>
      <c r="M46" s="15">
        <v>0</v>
      </c>
      <c r="N46" s="26"/>
      <c r="O46" s="15">
        <v>0</v>
      </c>
      <c r="P46" s="15"/>
      <c r="Q46" s="15">
        <f>0.4-0.4</f>
        <v>0</v>
      </c>
      <c r="R46" s="96"/>
      <c r="S46" s="16">
        <v>0</v>
      </c>
      <c r="T46" s="60"/>
      <c r="U46" s="16">
        <v>0</v>
      </c>
      <c r="V46" s="57"/>
      <c r="W46" s="16">
        <v>0</v>
      </c>
    </row>
    <row r="47" spans="1:23" ht="12.75" customHeight="1">
      <c r="A47" s="29"/>
      <c r="B47" s="77" t="s">
        <v>225</v>
      </c>
      <c r="C47" s="60"/>
      <c r="D47" s="60"/>
      <c r="E47" s="16">
        <v>0</v>
      </c>
      <c r="F47" s="60"/>
      <c r="G47" s="16">
        <v>0</v>
      </c>
      <c r="H47" s="60"/>
      <c r="I47" s="16">
        <v>0</v>
      </c>
      <c r="J47" s="60"/>
      <c r="K47" s="16">
        <v>0</v>
      </c>
      <c r="L47" s="60"/>
      <c r="M47" s="16">
        <v>0</v>
      </c>
      <c r="N47" s="60"/>
      <c r="O47" s="16">
        <v>0</v>
      </c>
      <c r="P47" s="16"/>
      <c r="Q47" s="15">
        <v>-0.2</v>
      </c>
      <c r="R47" s="60"/>
      <c r="S47" s="16">
        <v>0</v>
      </c>
      <c r="T47" s="60"/>
      <c r="U47" s="16">
        <v>0</v>
      </c>
      <c r="V47" s="57"/>
      <c r="W47" s="16">
        <v>0</v>
      </c>
    </row>
    <row r="48" spans="1:23" ht="12.75" customHeight="1">
      <c r="A48" s="29"/>
      <c r="B48" s="73" t="s">
        <v>176</v>
      </c>
      <c r="C48" s="60"/>
      <c r="D48" s="26"/>
      <c r="E48" s="15">
        <v>0</v>
      </c>
      <c r="F48" s="26"/>
      <c r="G48" s="15">
        <v>0</v>
      </c>
      <c r="H48" s="26"/>
      <c r="I48" s="15">
        <v>0</v>
      </c>
      <c r="J48" s="26"/>
      <c r="K48" s="134">
        <v>-0.3</v>
      </c>
      <c r="L48" s="26"/>
      <c r="M48" s="15">
        <v>0</v>
      </c>
      <c r="N48" s="26"/>
      <c r="O48" s="15">
        <v>0</v>
      </c>
      <c r="P48" s="15"/>
      <c r="Q48" s="15">
        <v>0</v>
      </c>
      <c r="R48" s="90"/>
      <c r="S48" s="16">
        <v>0</v>
      </c>
      <c r="T48" s="6"/>
      <c r="U48" s="16">
        <v>0</v>
      </c>
      <c r="W48" s="16">
        <v>0</v>
      </c>
    </row>
    <row r="49" spans="1:23" ht="12.75" customHeight="1">
      <c r="A49" s="29"/>
      <c r="B49" s="77" t="s">
        <v>152</v>
      </c>
      <c r="C49" s="6"/>
      <c r="D49" s="26"/>
      <c r="E49" s="116">
        <f>-5-3.8</f>
        <v>-8.8000000000000007</v>
      </c>
      <c r="F49" s="26"/>
      <c r="G49" s="15">
        <v>0</v>
      </c>
      <c r="H49" s="26"/>
      <c r="I49" s="15">
        <v>0</v>
      </c>
      <c r="J49" s="26"/>
      <c r="K49" s="15">
        <v>-2.2000000000000002</v>
      </c>
      <c r="L49" s="26"/>
      <c r="M49" s="15">
        <v>0</v>
      </c>
      <c r="N49" s="26"/>
      <c r="O49" s="15">
        <v>0</v>
      </c>
      <c r="P49" s="15"/>
      <c r="Q49" s="15">
        <v>0</v>
      </c>
      <c r="R49" s="90"/>
      <c r="S49" s="16">
        <v>0</v>
      </c>
      <c r="T49" s="6"/>
      <c r="U49" s="16">
        <v>0</v>
      </c>
      <c r="W49" s="16">
        <v>0</v>
      </c>
    </row>
    <row r="50" spans="1:23" ht="12.75" customHeight="1">
      <c r="A50" s="29"/>
      <c r="B50" s="25" t="s">
        <v>162</v>
      </c>
      <c r="C50" s="6"/>
      <c r="D50" s="26"/>
      <c r="E50" s="15">
        <v>-4.8</v>
      </c>
      <c r="F50" s="26"/>
      <c r="G50" s="15">
        <v>0</v>
      </c>
      <c r="H50" s="26"/>
      <c r="I50" s="15">
        <v>0</v>
      </c>
      <c r="J50" s="26"/>
      <c r="K50" s="15">
        <v>0</v>
      </c>
      <c r="L50" s="26"/>
      <c r="M50" s="15">
        <v>0</v>
      </c>
      <c r="N50" s="26"/>
      <c r="O50" s="15">
        <v>0</v>
      </c>
      <c r="P50" s="15"/>
      <c r="Q50" s="15">
        <v>0</v>
      </c>
      <c r="R50" s="90"/>
      <c r="S50" s="16">
        <v>0</v>
      </c>
      <c r="T50" s="6"/>
      <c r="U50" s="16">
        <v>0</v>
      </c>
      <c r="W50" s="16">
        <v>0</v>
      </c>
    </row>
    <row r="51" spans="1:23" ht="12.75" customHeight="1">
      <c r="A51" s="29"/>
      <c r="B51" s="78" t="s">
        <v>163</v>
      </c>
      <c r="C51" s="6"/>
      <c r="D51" s="26"/>
      <c r="E51" s="15">
        <v>-7.8</v>
      </c>
      <c r="F51" s="26"/>
      <c r="G51" s="15">
        <v>0</v>
      </c>
      <c r="H51" s="26"/>
      <c r="I51" s="15">
        <v>0</v>
      </c>
      <c r="J51" s="26"/>
      <c r="K51" s="15">
        <v>0</v>
      </c>
      <c r="L51" s="26"/>
      <c r="M51" s="15">
        <v>0</v>
      </c>
      <c r="N51" s="26"/>
      <c r="O51" s="15">
        <v>0</v>
      </c>
      <c r="P51" s="15"/>
      <c r="Q51" s="15">
        <v>0</v>
      </c>
      <c r="R51" s="90"/>
      <c r="S51" s="16">
        <v>0</v>
      </c>
      <c r="T51" s="6"/>
      <c r="U51" s="16">
        <v>0</v>
      </c>
      <c r="W51" s="16">
        <v>0</v>
      </c>
    </row>
    <row r="52" spans="1:23" ht="12.75" customHeight="1">
      <c r="A52" s="29"/>
      <c r="B52" s="25" t="s">
        <v>128</v>
      </c>
      <c r="C52" s="6"/>
      <c r="D52" s="26"/>
      <c r="E52" s="15">
        <v>0</v>
      </c>
      <c r="F52" s="26"/>
      <c r="G52" s="15">
        <v>0</v>
      </c>
      <c r="H52" s="26"/>
      <c r="I52" s="15">
        <v>0</v>
      </c>
      <c r="J52" s="26"/>
      <c r="K52" s="15">
        <v>0</v>
      </c>
      <c r="L52" s="26"/>
      <c r="M52" s="15">
        <v>0</v>
      </c>
      <c r="N52" s="26"/>
      <c r="O52" s="15">
        <v>2.9</v>
      </c>
      <c r="P52" s="15"/>
      <c r="Q52" s="15">
        <v>0</v>
      </c>
      <c r="R52" s="90"/>
      <c r="S52" s="16">
        <v>0</v>
      </c>
      <c r="T52" s="6"/>
      <c r="U52" s="16">
        <v>0</v>
      </c>
      <c r="W52" s="16">
        <v>0</v>
      </c>
    </row>
    <row r="53" spans="1:23" ht="12.75" customHeight="1">
      <c r="A53" s="29"/>
      <c r="B53" s="14" t="s">
        <v>139</v>
      </c>
      <c r="C53" s="6"/>
      <c r="D53" s="26"/>
      <c r="E53" s="15">
        <v>0</v>
      </c>
      <c r="F53" s="26"/>
      <c r="G53" s="15">
        <v>0</v>
      </c>
      <c r="H53" s="26"/>
      <c r="I53" s="15">
        <v>0</v>
      </c>
      <c r="J53" s="26"/>
      <c r="K53" s="15">
        <v>0</v>
      </c>
      <c r="L53" s="26"/>
      <c r="M53" s="15">
        <v>-0.3</v>
      </c>
      <c r="N53" s="26"/>
      <c r="O53" s="15">
        <v>0</v>
      </c>
      <c r="P53" s="15"/>
      <c r="Q53" s="15">
        <v>0</v>
      </c>
      <c r="R53" s="90"/>
      <c r="S53" s="16">
        <v>0</v>
      </c>
      <c r="T53" s="6"/>
      <c r="U53" s="16">
        <v>0</v>
      </c>
      <c r="W53" s="16">
        <v>0</v>
      </c>
    </row>
    <row r="54" spans="1:23" ht="12.75" customHeight="1">
      <c r="A54" s="29"/>
      <c r="B54" s="25" t="s">
        <v>63</v>
      </c>
      <c r="C54" s="6"/>
      <c r="D54" s="26"/>
      <c r="E54" s="15">
        <v>0</v>
      </c>
      <c r="F54" s="26"/>
      <c r="G54" s="15">
        <v>0</v>
      </c>
      <c r="H54" s="26"/>
      <c r="I54" s="15">
        <v>0</v>
      </c>
      <c r="J54" s="26"/>
      <c r="K54" s="15">
        <v>0</v>
      </c>
      <c r="L54" s="26"/>
      <c r="M54" s="15">
        <v>0</v>
      </c>
      <c r="N54" s="26"/>
      <c r="O54" s="15">
        <v>0</v>
      </c>
      <c r="P54" s="15"/>
      <c r="Q54" s="15">
        <v>-0.3</v>
      </c>
      <c r="R54" s="90"/>
      <c r="S54" s="16">
        <v>0</v>
      </c>
      <c r="T54" s="6"/>
      <c r="U54" s="16">
        <v>0</v>
      </c>
      <c r="W54" s="16">
        <v>0</v>
      </c>
    </row>
    <row r="55" spans="1:23" ht="12.75" customHeight="1">
      <c r="A55" s="29"/>
      <c r="B55" s="14" t="s">
        <v>138</v>
      </c>
      <c r="C55" s="6"/>
      <c r="D55" s="26"/>
      <c r="E55" s="15">
        <v>0</v>
      </c>
      <c r="F55" s="26"/>
      <c r="G55" s="15">
        <v>0</v>
      </c>
      <c r="H55" s="26"/>
      <c r="I55" s="15">
        <v>0</v>
      </c>
      <c r="J55" s="26"/>
      <c r="K55" s="15">
        <v>0</v>
      </c>
      <c r="L55" s="26"/>
      <c r="M55" s="15">
        <v>0.7</v>
      </c>
      <c r="N55" s="26"/>
      <c r="O55" s="15">
        <v>0</v>
      </c>
      <c r="P55" s="15"/>
      <c r="Q55" s="15">
        <v>0</v>
      </c>
      <c r="R55" s="90"/>
      <c r="S55" s="16">
        <v>0</v>
      </c>
      <c r="T55" s="6"/>
      <c r="U55" s="16">
        <v>0</v>
      </c>
      <c r="W55" s="16">
        <v>0</v>
      </c>
    </row>
    <row r="56" spans="1:23" ht="12.75" customHeight="1">
      <c r="A56" s="29"/>
      <c r="B56" s="14" t="s">
        <v>155</v>
      </c>
      <c r="C56" s="6"/>
      <c r="D56" s="26"/>
      <c r="E56" s="15">
        <v>0</v>
      </c>
      <c r="F56" s="26"/>
      <c r="G56" s="15">
        <v>0</v>
      </c>
      <c r="H56" s="26"/>
      <c r="I56" s="15">
        <v>0</v>
      </c>
      <c r="J56" s="26"/>
      <c r="K56" s="15">
        <v>0.9</v>
      </c>
      <c r="L56" s="26"/>
      <c r="M56" s="15">
        <v>0</v>
      </c>
      <c r="N56" s="26"/>
      <c r="O56" s="15">
        <v>0</v>
      </c>
      <c r="P56" s="15"/>
      <c r="Q56" s="15">
        <v>0</v>
      </c>
      <c r="R56" s="90"/>
      <c r="S56" s="16">
        <v>0</v>
      </c>
      <c r="T56" s="6"/>
      <c r="U56" s="16">
        <v>0</v>
      </c>
      <c r="W56" s="16">
        <v>0</v>
      </c>
    </row>
    <row r="57" spans="1:23" ht="12.75" customHeight="1">
      <c r="A57" s="6"/>
      <c r="B57" s="25" t="s">
        <v>167</v>
      </c>
      <c r="C57" s="6"/>
      <c r="D57" s="26"/>
      <c r="E57" s="16">
        <v>0</v>
      </c>
      <c r="F57" s="26"/>
      <c r="G57" s="16">
        <v>0</v>
      </c>
      <c r="H57" s="26"/>
      <c r="I57" s="16">
        <v>0</v>
      </c>
      <c r="J57" s="26"/>
      <c r="K57" s="16">
        <v>0</v>
      </c>
      <c r="L57" s="26"/>
      <c r="M57" s="16">
        <v>0</v>
      </c>
      <c r="N57" s="26"/>
      <c r="O57" s="16">
        <v>0</v>
      </c>
      <c r="P57" s="15"/>
      <c r="Q57" s="120">
        <v>-0.2</v>
      </c>
      <c r="R57" s="90"/>
      <c r="S57" s="16">
        <v>0</v>
      </c>
      <c r="T57" s="6"/>
      <c r="U57" s="16">
        <v>0</v>
      </c>
      <c r="W57" s="16">
        <v>0</v>
      </c>
    </row>
    <row r="58" spans="1:23" ht="12.75" customHeight="1">
      <c r="A58" s="6"/>
      <c r="B58" s="118" t="s">
        <v>134</v>
      </c>
      <c r="E58" s="15">
        <v>0</v>
      </c>
      <c r="F58" s="26"/>
      <c r="G58" s="15">
        <v>0</v>
      </c>
      <c r="H58" s="26"/>
      <c r="I58" s="15">
        <v>0</v>
      </c>
      <c r="J58" s="26"/>
      <c r="K58" s="15">
        <v>-1.6</v>
      </c>
      <c r="L58" s="26"/>
      <c r="M58" s="15">
        <v>1.6</v>
      </c>
      <c r="N58" s="26"/>
      <c r="O58" s="15">
        <v>0</v>
      </c>
      <c r="P58" s="15"/>
      <c r="Q58" s="15">
        <v>0</v>
      </c>
      <c r="R58" s="90"/>
      <c r="S58" s="16">
        <v>0</v>
      </c>
      <c r="T58" s="6"/>
      <c r="U58" s="16">
        <v>0</v>
      </c>
      <c r="W58" s="16">
        <v>0</v>
      </c>
    </row>
    <row r="59" spans="1:23" ht="12.75" customHeight="1">
      <c r="A59" s="6"/>
      <c r="B59" s="88" t="s">
        <v>160</v>
      </c>
      <c r="E59" s="15">
        <v>0</v>
      </c>
      <c r="F59" s="26"/>
      <c r="G59" s="15">
        <v>0</v>
      </c>
      <c r="H59" s="26"/>
      <c r="I59" s="15">
        <v>1.2</v>
      </c>
      <c r="J59" s="26"/>
      <c r="K59" s="15">
        <v>0</v>
      </c>
      <c r="L59" s="26"/>
      <c r="M59" s="15">
        <v>0.6</v>
      </c>
      <c r="N59" s="26"/>
      <c r="O59" s="15">
        <v>0</v>
      </c>
      <c r="P59" s="15"/>
      <c r="Q59" s="15">
        <v>0</v>
      </c>
      <c r="R59" s="90"/>
      <c r="S59" s="16">
        <v>0</v>
      </c>
      <c r="T59" s="6"/>
      <c r="U59" s="16">
        <v>0</v>
      </c>
      <c r="W59" s="16">
        <v>0</v>
      </c>
    </row>
    <row r="60" spans="1:23" ht="12.75" customHeight="1">
      <c r="A60" s="6"/>
      <c r="B60" s="88" t="s">
        <v>157</v>
      </c>
      <c r="E60" s="15">
        <v>0</v>
      </c>
      <c r="F60" s="26"/>
      <c r="G60" s="15">
        <v>0</v>
      </c>
      <c r="H60" s="26"/>
      <c r="I60" s="15">
        <v>0</v>
      </c>
      <c r="J60" s="26"/>
      <c r="K60" s="15">
        <v>2.9</v>
      </c>
      <c r="L60" s="26"/>
      <c r="M60" s="15">
        <v>0</v>
      </c>
      <c r="N60" s="26"/>
      <c r="O60" s="15">
        <v>0</v>
      </c>
      <c r="P60" s="15"/>
      <c r="Q60" s="15">
        <v>0</v>
      </c>
      <c r="R60" s="90"/>
      <c r="S60" s="16">
        <v>0</v>
      </c>
      <c r="T60" s="6"/>
      <c r="U60" s="16">
        <v>0</v>
      </c>
      <c r="W60" s="16">
        <v>0</v>
      </c>
    </row>
    <row r="61" spans="1:23" ht="12.75" customHeight="1">
      <c r="A61" s="6"/>
      <c r="B61" s="118" t="s">
        <v>137</v>
      </c>
      <c r="E61" s="15">
        <v>0</v>
      </c>
      <c r="F61" s="26"/>
      <c r="G61" s="15">
        <v>0</v>
      </c>
      <c r="H61" s="26"/>
      <c r="I61" s="15">
        <v>0</v>
      </c>
      <c r="J61" s="26"/>
      <c r="K61" s="15">
        <v>0</v>
      </c>
      <c r="L61" s="26"/>
      <c r="M61" s="15">
        <v>0.7</v>
      </c>
      <c r="N61" s="26"/>
      <c r="O61" s="15">
        <v>0</v>
      </c>
      <c r="P61" s="15"/>
      <c r="Q61" s="15">
        <v>0</v>
      </c>
      <c r="R61" s="90"/>
      <c r="S61" s="16">
        <v>0</v>
      </c>
      <c r="T61" s="6"/>
      <c r="U61" s="16">
        <v>0</v>
      </c>
      <c r="W61" s="16">
        <v>0</v>
      </c>
    </row>
    <row r="62" spans="1:23" ht="12.75" customHeight="1">
      <c r="A62" s="6"/>
      <c r="B62" s="88" t="s">
        <v>135</v>
      </c>
      <c r="E62" s="15">
        <v>0</v>
      </c>
      <c r="F62" s="26"/>
      <c r="G62" s="15">
        <v>0</v>
      </c>
      <c r="H62" s="26"/>
      <c r="I62" s="15">
        <v>0</v>
      </c>
      <c r="J62" s="26"/>
      <c r="K62" s="15">
        <v>-2.6</v>
      </c>
      <c r="L62" s="26"/>
      <c r="M62" s="15">
        <v>2.6</v>
      </c>
      <c r="N62" s="26"/>
      <c r="O62" s="15">
        <v>0</v>
      </c>
      <c r="P62" s="15"/>
      <c r="Q62" s="15">
        <v>0</v>
      </c>
      <c r="R62" s="90"/>
      <c r="S62" s="16">
        <v>0</v>
      </c>
      <c r="T62" s="6"/>
      <c r="U62" s="16">
        <v>0</v>
      </c>
      <c r="W62" s="16">
        <v>0</v>
      </c>
    </row>
    <row r="63" spans="1:23">
      <c r="A63" s="6"/>
      <c r="B63" s="77" t="s">
        <v>136</v>
      </c>
      <c r="C63" s="6"/>
      <c r="D63" s="26"/>
      <c r="E63" s="16">
        <v>0</v>
      </c>
      <c r="F63" s="26"/>
      <c r="G63" s="16">
        <v>0</v>
      </c>
      <c r="H63" s="26"/>
      <c r="I63" s="16">
        <v>0</v>
      </c>
      <c r="J63" s="26"/>
      <c r="K63" s="27">
        <f>0.2-0.5</f>
        <v>-0.3</v>
      </c>
      <c r="L63" s="26"/>
      <c r="M63" s="16">
        <v>1.5</v>
      </c>
      <c r="N63" s="26"/>
      <c r="O63" s="16">
        <v>-0.3</v>
      </c>
      <c r="P63" s="15"/>
      <c r="Q63" s="15">
        <v>0.3</v>
      </c>
      <c r="R63" s="90"/>
      <c r="S63" s="16">
        <v>0</v>
      </c>
      <c r="T63" s="6"/>
      <c r="U63" s="16">
        <v>0</v>
      </c>
      <c r="W63" s="16">
        <v>0</v>
      </c>
    </row>
    <row r="64" spans="1:23">
      <c r="A64" s="6"/>
      <c r="B64" s="88" t="s">
        <v>132</v>
      </c>
      <c r="E64" s="15">
        <v>0</v>
      </c>
      <c r="F64" s="26"/>
      <c r="G64" s="15">
        <v>0</v>
      </c>
      <c r="H64" s="26"/>
      <c r="I64" s="15">
        <v>0</v>
      </c>
      <c r="J64" s="26"/>
      <c r="K64" s="15">
        <v>-3.5</v>
      </c>
      <c r="L64" s="26"/>
      <c r="M64" s="15">
        <v>3.5</v>
      </c>
      <c r="N64" s="26"/>
      <c r="O64" s="15">
        <v>0</v>
      </c>
      <c r="P64" s="15"/>
      <c r="Q64" s="15">
        <v>0</v>
      </c>
      <c r="R64" s="90"/>
      <c r="S64" s="16">
        <v>0</v>
      </c>
      <c r="T64" s="6"/>
      <c r="U64" s="16">
        <v>0</v>
      </c>
      <c r="W64" s="16">
        <v>0</v>
      </c>
    </row>
    <row r="65" spans="1:23">
      <c r="A65" s="6"/>
      <c r="B65" s="25" t="s">
        <v>129</v>
      </c>
      <c r="C65" s="6"/>
      <c r="D65" s="12"/>
      <c r="E65" s="16">
        <v>0</v>
      </c>
      <c r="F65" s="12"/>
      <c r="G65" s="16">
        <v>0</v>
      </c>
      <c r="H65" s="12"/>
      <c r="I65" s="16">
        <v>0</v>
      </c>
      <c r="J65" s="12"/>
      <c r="K65" s="16">
        <v>0</v>
      </c>
      <c r="L65" s="12"/>
      <c r="M65" s="16">
        <v>0</v>
      </c>
      <c r="N65" s="12"/>
      <c r="O65" s="16">
        <v>0.2</v>
      </c>
      <c r="P65" s="16"/>
      <c r="Q65" s="16">
        <v>0</v>
      </c>
      <c r="R65" s="87"/>
      <c r="S65" s="16">
        <v>0</v>
      </c>
      <c r="T65" s="87"/>
      <c r="U65" s="16">
        <v>0</v>
      </c>
      <c r="V65" s="87"/>
      <c r="W65" s="16">
        <v>0</v>
      </c>
    </row>
    <row r="66" spans="1:23">
      <c r="A66" s="6"/>
      <c r="B66" s="25" t="s">
        <v>64</v>
      </c>
      <c r="C66" s="6"/>
      <c r="D66" s="12"/>
      <c r="E66" s="16">
        <v>0</v>
      </c>
      <c r="F66" s="12"/>
      <c r="G66" s="16">
        <v>0</v>
      </c>
      <c r="H66" s="12"/>
      <c r="I66" s="16">
        <v>0</v>
      </c>
      <c r="J66" s="12"/>
      <c r="K66" s="16">
        <v>0</v>
      </c>
      <c r="L66" s="12"/>
      <c r="M66" s="16">
        <v>0</v>
      </c>
      <c r="N66" s="12"/>
      <c r="O66" s="16">
        <v>0</v>
      </c>
      <c r="P66" s="16"/>
      <c r="Q66" s="16">
        <v>0</v>
      </c>
      <c r="R66" s="87"/>
      <c r="S66" s="16">
        <v>0</v>
      </c>
      <c r="T66" s="6"/>
      <c r="U66" s="16">
        <v>0</v>
      </c>
      <c r="W66" s="16">
        <v>0</v>
      </c>
    </row>
    <row r="67" spans="1:23">
      <c r="A67" s="6"/>
      <c r="B67" s="25" t="s">
        <v>65</v>
      </c>
      <c r="C67" s="6"/>
      <c r="D67" s="26"/>
      <c r="E67" s="15">
        <v>0</v>
      </c>
      <c r="F67" s="26"/>
      <c r="G67" s="15">
        <v>0</v>
      </c>
      <c r="H67" s="26"/>
      <c r="I67" s="15">
        <v>0</v>
      </c>
      <c r="J67" s="26"/>
      <c r="K67" s="15">
        <v>0</v>
      </c>
      <c r="L67" s="26"/>
      <c r="M67" s="15">
        <v>0</v>
      </c>
      <c r="N67" s="26"/>
      <c r="O67" s="15">
        <v>0</v>
      </c>
      <c r="P67" s="15"/>
      <c r="Q67" s="15">
        <v>0</v>
      </c>
      <c r="R67" s="90"/>
      <c r="S67" s="15">
        <v>2.5</v>
      </c>
      <c r="T67" s="37"/>
      <c r="U67" s="15">
        <v>-0.5</v>
      </c>
      <c r="V67" s="46"/>
      <c r="W67" s="15">
        <v>-0.5</v>
      </c>
    </row>
    <row r="68" spans="1:23">
      <c r="A68" s="6"/>
      <c r="B68" s="14" t="s">
        <v>110</v>
      </c>
      <c r="C68" s="6"/>
      <c r="D68" s="26"/>
      <c r="E68" s="30">
        <v>0</v>
      </c>
      <c r="F68" s="26"/>
      <c r="G68" s="30">
        <v>0</v>
      </c>
      <c r="H68" s="26"/>
      <c r="I68" s="30">
        <v>0</v>
      </c>
      <c r="J68" s="26"/>
      <c r="K68" s="30">
        <v>0</v>
      </c>
      <c r="L68" s="26"/>
      <c r="M68" s="30">
        <v>0</v>
      </c>
      <c r="N68" s="26"/>
      <c r="O68" s="30">
        <v>0</v>
      </c>
      <c r="P68" s="15"/>
      <c r="Q68" s="30">
        <v>0</v>
      </c>
      <c r="R68" s="90"/>
      <c r="S68" s="30">
        <v>0</v>
      </c>
      <c r="T68" s="6"/>
      <c r="U68" s="30">
        <v>0</v>
      </c>
      <c r="W68" s="30">
        <v>0</v>
      </c>
    </row>
    <row r="69" spans="1:23" ht="3.9" customHeight="1">
      <c r="A69" s="6"/>
      <c r="B69" s="6"/>
      <c r="C69" s="6"/>
      <c r="D69" s="12"/>
      <c r="E69" s="26"/>
      <c r="F69" s="12"/>
      <c r="G69" s="26"/>
      <c r="H69" s="12"/>
      <c r="I69" s="26"/>
      <c r="J69" s="12"/>
      <c r="K69" s="26"/>
      <c r="L69" s="12"/>
      <c r="M69" s="26"/>
      <c r="N69" s="12"/>
      <c r="O69" s="26"/>
      <c r="P69" s="12"/>
      <c r="Q69" s="26"/>
      <c r="R69" s="6"/>
      <c r="S69" s="26"/>
      <c r="T69" s="6"/>
      <c r="U69" s="26"/>
      <c r="W69" s="26"/>
    </row>
    <row r="70" spans="1:23" ht="13.8" thickBot="1">
      <c r="A70" s="6"/>
      <c r="B70" s="6"/>
      <c r="C70" s="29" t="s">
        <v>66</v>
      </c>
      <c r="D70" s="20"/>
      <c r="E70" s="33">
        <f>SUM(E37:E68)</f>
        <v>-21.400000000000002</v>
      </c>
      <c r="F70" s="20"/>
      <c r="G70" s="33">
        <f>SUM(G37:G68)</f>
        <v>5</v>
      </c>
      <c r="H70" s="20"/>
      <c r="I70" s="33">
        <f>SUM(I37:I68)</f>
        <v>1.2</v>
      </c>
      <c r="J70" s="20"/>
      <c r="K70" s="33">
        <f>SUM(K37:K68)</f>
        <v>-8.1000000000000014</v>
      </c>
      <c r="L70" s="20"/>
      <c r="M70" s="33">
        <f>SUM(M37:M68)</f>
        <v>12.3</v>
      </c>
      <c r="N70" s="20"/>
      <c r="O70" s="33">
        <f>SUM(O37:O68)</f>
        <v>6.3000000000000007</v>
      </c>
      <c r="P70" s="20"/>
      <c r="Q70" s="33">
        <f>SUM(Q37:Q68)</f>
        <v>1.9999999999999998</v>
      </c>
      <c r="R70" s="6"/>
      <c r="S70" s="33">
        <f>SUM(S37:S68)</f>
        <v>2.2000000000000002</v>
      </c>
      <c r="T70" s="22"/>
      <c r="U70" s="33">
        <f>SUM(U37:U68)</f>
        <v>-0.5</v>
      </c>
      <c r="W70" s="33">
        <f>SUM(W37:W68)</f>
        <v>-0.5</v>
      </c>
    </row>
    <row r="71" spans="1:23" ht="13.8" thickTop="1">
      <c r="A71" s="6"/>
      <c r="B71" s="6"/>
      <c r="C71" s="6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6"/>
      <c r="P71" s="20"/>
      <c r="Q71" s="36"/>
      <c r="R71" s="6"/>
      <c r="S71" s="36"/>
      <c r="T71" s="6"/>
    </row>
    <row r="72" spans="1:23">
      <c r="A72" s="44" t="str">
        <f ca="1">CELL("Filename")</f>
        <v>L:\Historical Financial Info\[DetailInc.xls]NNG-Other</v>
      </c>
      <c r="B72" s="6"/>
      <c r="C72" s="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6"/>
      <c r="W72" s="124">
        <f ca="1">NOW()</f>
        <v>36836.473603935185</v>
      </c>
    </row>
  </sheetData>
  <printOptions horizontalCentered="1"/>
  <pageMargins left="0.5" right="0.5" top="0.5" bottom="0.25" header="0" footer="0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NNG Detail NI</vt:lpstr>
      <vt:lpstr>NNG-Disc.,Assets,Reserves</vt:lpstr>
      <vt:lpstr>NNG-Other</vt:lpstr>
      <vt:lpstr>TW Detail NI</vt:lpstr>
      <vt:lpstr>TW-Disc.,Assets,Reserves,Other</vt:lpstr>
      <vt:lpstr>'NNG Detail NI'!Print_Area</vt:lpstr>
      <vt:lpstr>'NNG-Disc.,Assets,Reserves'!Print_Area</vt:lpstr>
      <vt:lpstr>'NNG-Other'!Print_Area</vt:lpstr>
      <vt:lpstr>'TW Detail NI'!Print_Area</vt:lpstr>
      <vt:lpstr>'TW-Disc.,Assets,Reserves,Other'!Print_Area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Havlíček Jan</cp:lastModifiedBy>
  <cp:lastPrinted>2000-05-10T21:48:41Z</cp:lastPrinted>
  <dcterms:created xsi:type="dcterms:W3CDTF">2000-01-25T15:24:45Z</dcterms:created>
  <dcterms:modified xsi:type="dcterms:W3CDTF">2023-09-10T12:03:54Z</dcterms:modified>
</cp:coreProperties>
</file>